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81.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embeddings/oleObject84.bin" ContentType="application/vnd.openxmlformats-officedocument.oleObject"/>
  <Override PartName="/xl/embeddings/oleObject85.bin" ContentType="application/vnd.openxmlformats-officedocument.oleObject"/>
  <Override PartName="/xl/embeddings/oleObject86.bin" ContentType="application/vnd.openxmlformats-officedocument.oleObject"/>
  <Override PartName="/xl/embeddings/oleObject87.bin" ContentType="application/vnd.openxmlformats-officedocument.oleObject"/>
  <Override PartName="/xl/embeddings/oleObject88.bin" ContentType="application/vnd.openxmlformats-officedocument.oleObject"/>
  <Override PartName="/xl/embeddings/oleObject89.bin" ContentType="application/vnd.openxmlformats-officedocument.oleObject"/>
  <Override PartName="/xl/embeddings/oleObject90.bin" ContentType="application/vnd.openxmlformats-officedocument.oleObject"/>
  <Override PartName="/xl/embeddings/oleObject91.bin" ContentType="application/vnd.openxmlformats-officedocument.oleObject"/>
  <Override PartName="/xl/embeddings/oleObject92.bin" ContentType="application/vnd.openxmlformats-officedocument.oleObject"/>
  <Override PartName="/xl/embeddings/oleObject93.bin" ContentType="application/vnd.openxmlformats-officedocument.oleObject"/>
  <Override PartName="/xl/embeddings/oleObject94.bin" ContentType="application/vnd.openxmlformats-officedocument.oleObject"/>
  <Override PartName="/xl/embeddings/oleObject95.bin" ContentType="application/vnd.openxmlformats-officedocument.oleObject"/>
  <Override PartName="/xl/embeddings/oleObject96.bin" ContentType="application/vnd.openxmlformats-officedocument.oleObject"/>
  <Override PartName="/xl/embeddings/oleObject97.bin" ContentType="application/vnd.openxmlformats-officedocument.oleObject"/>
  <Override PartName="/xl/embeddings/oleObject98.bin" ContentType="application/vnd.openxmlformats-officedocument.oleObject"/>
  <Override PartName="/xl/embeddings/oleObject99.bin" ContentType="application/vnd.openxmlformats-officedocument.oleObject"/>
  <Override PartName="/xl/embeddings/oleObject100.bin" ContentType="application/vnd.openxmlformats-officedocument.oleObject"/>
  <Override PartName="/xl/embeddings/oleObject101.bin" ContentType="application/vnd.openxmlformats-officedocument.oleObject"/>
  <Override PartName="/xl/embeddings/oleObject102.bin" ContentType="application/vnd.openxmlformats-officedocument.oleObject"/>
  <Override PartName="/xl/embeddings/oleObject103.bin" ContentType="application/vnd.openxmlformats-officedocument.oleObject"/>
  <Override PartName="/xl/embeddings/oleObject104.bin" ContentType="application/vnd.openxmlformats-officedocument.oleObject"/>
  <Override PartName="/xl/embeddings/oleObject105.bin" ContentType="application/vnd.openxmlformats-officedocument.oleObject"/>
  <Override PartName="/xl/embeddings/oleObject106.bin" ContentType="application/vnd.openxmlformats-officedocument.oleObject"/>
  <Override PartName="/xl/embeddings/oleObject107.bin" ContentType="application/vnd.openxmlformats-officedocument.oleObject"/>
  <Override PartName="/xl/embeddings/oleObject108.bin" ContentType="application/vnd.openxmlformats-officedocument.oleObject"/>
  <Override PartName="/xl/embeddings/oleObject109.bin" ContentType="application/vnd.openxmlformats-officedocument.oleObject"/>
  <Override PartName="/xl/embeddings/oleObject110.bin" ContentType="application/vnd.openxmlformats-officedocument.oleObject"/>
  <Override PartName="/xl/embeddings/oleObject111.bin" ContentType="application/vnd.openxmlformats-officedocument.oleObject"/>
  <Override PartName="/xl/embeddings/oleObject112.bin" ContentType="application/vnd.openxmlformats-officedocument.oleObject"/>
  <Override PartName="/xl/embeddings/oleObject113.bin" ContentType="application/vnd.openxmlformats-officedocument.oleObject"/>
  <Override PartName="/xl/embeddings/oleObject114.bin" ContentType="application/vnd.openxmlformats-officedocument.oleObject"/>
  <Override PartName="/xl/embeddings/oleObject115.bin" ContentType="application/vnd.openxmlformats-officedocument.oleObject"/>
  <Override PartName="/xl/embeddings/oleObject116.bin" ContentType="application/vnd.openxmlformats-officedocument.oleObject"/>
  <Override PartName="/xl/embeddings/oleObject117.bin" ContentType="application/vnd.openxmlformats-officedocument.oleObject"/>
  <Override PartName="/xl/embeddings/oleObject118.bin" ContentType="application/vnd.openxmlformats-officedocument.oleObject"/>
  <Override PartName="/xl/embeddings/oleObject119.bin" ContentType="application/vnd.openxmlformats-officedocument.oleObject"/>
  <Override PartName="/xl/embeddings/oleObject120.bin" ContentType="application/vnd.openxmlformats-officedocument.oleObject"/>
  <Override PartName="/xl/embeddings/oleObject121.bin" ContentType="application/vnd.openxmlformats-officedocument.oleObject"/>
  <Override PartName="/xl/embeddings/oleObject122.bin" ContentType="application/vnd.openxmlformats-officedocument.oleObject"/>
  <Override PartName="/xl/embeddings/oleObject123.bin" ContentType="application/vnd.openxmlformats-officedocument.oleObject"/>
  <Override PartName="/xl/embeddings/oleObject124.bin" ContentType="application/vnd.openxmlformats-officedocument.oleObject"/>
  <Override PartName="/xl/embeddings/oleObject125.bin" ContentType="application/vnd.openxmlformats-officedocument.oleObject"/>
  <Override PartName="/xl/embeddings/oleObject126.bin" ContentType="application/vnd.openxmlformats-officedocument.oleObject"/>
  <Override PartName="/xl/embeddings/oleObject127.bin" ContentType="application/vnd.openxmlformats-officedocument.oleObject"/>
  <Override PartName="/xl/embeddings/oleObject128.bin" ContentType="application/vnd.openxmlformats-officedocument.oleObject"/>
  <Override PartName="/xl/embeddings/oleObject129.bin" ContentType="application/vnd.openxmlformats-officedocument.oleObject"/>
  <Override PartName="/xl/embeddings/oleObject130.bin" ContentType="application/vnd.openxmlformats-officedocument.oleObject"/>
  <Override PartName="/xl/embeddings/oleObject131.bin" ContentType="application/vnd.openxmlformats-officedocument.oleObject"/>
  <Override PartName="/xl/embeddings/oleObject132.bin" ContentType="application/vnd.openxmlformats-officedocument.oleObject"/>
  <Override PartName="/xl/embeddings/oleObject133.bin" ContentType="application/vnd.openxmlformats-officedocument.oleObject"/>
  <Override PartName="/xl/embeddings/oleObject134.bin" ContentType="application/vnd.openxmlformats-officedocument.oleObject"/>
  <Override PartName="/xl/embeddings/oleObject135.bin" ContentType="application/vnd.openxmlformats-officedocument.oleObject"/>
  <Override PartName="/xl/embeddings/oleObject136.bin" ContentType="application/vnd.openxmlformats-officedocument.oleObject"/>
  <Override PartName="/xl/embeddings/oleObject137.bin" ContentType="application/vnd.openxmlformats-officedocument.oleObject"/>
  <Override PartName="/xl/embeddings/oleObject138.bin" ContentType="application/vnd.openxmlformats-officedocument.oleObject"/>
  <Override PartName="/xl/embeddings/oleObject139.bin" ContentType="application/vnd.openxmlformats-officedocument.oleObject"/>
  <Override PartName="/xl/embeddings/oleObject140.bin" ContentType="application/vnd.openxmlformats-officedocument.oleObject"/>
  <Override PartName="/xl/embeddings/oleObject141.bin" ContentType="application/vnd.openxmlformats-officedocument.oleObject"/>
  <Override PartName="/xl/embeddings/oleObject142.bin" ContentType="application/vnd.openxmlformats-officedocument.oleObject"/>
  <Override PartName="/xl/embeddings/oleObject143.bin" ContentType="application/vnd.openxmlformats-officedocument.oleObject"/>
  <Override PartName="/xl/embeddings/oleObject144.bin" ContentType="application/vnd.openxmlformats-officedocument.oleObject"/>
  <Override PartName="/xl/embeddings/oleObject145.bin" ContentType="application/vnd.openxmlformats-officedocument.oleObject"/>
  <Override PartName="/xl/embeddings/oleObject146.bin" ContentType="application/vnd.openxmlformats-officedocument.oleObject"/>
  <Override PartName="/xl/embeddings/oleObject147.bin" ContentType="application/vnd.openxmlformats-officedocument.oleObject"/>
  <Override PartName="/xl/embeddings/oleObject148.bin" ContentType="application/vnd.openxmlformats-officedocument.oleObject"/>
  <Override PartName="/xl/embeddings/oleObject149.bin" ContentType="application/vnd.openxmlformats-officedocument.oleObject"/>
  <Override PartName="/xl/embeddings/oleObject150.bin" ContentType="application/vnd.openxmlformats-officedocument.oleObject"/>
  <Override PartName="/xl/embeddings/oleObject151.bin" ContentType="application/vnd.openxmlformats-officedocument.oleObject"/>
  <Override PartName="/xl/embeddings/oleObject152.bin" ContentType="application/vnd.openxmlformats-officedocument.oleObject"/>
  <Override PartName="/xl/embeddings/oleObject153.bin" ContentType="application/vnd.openxmlformats-officedocument.oleObject"/>
  <Override PartName="/xl/embeddings/oleObject154.bin" ContentType="application/vnd.openxmlformats-officedocument.oleObject"/>
  <Override PartName="/xl/embeddings/oleObject155.bin" ContentType="application/vnd.openxmlformats-officedocument.oleObject"/>
  <Override PartName="/xl/embeddings/oleObject156.bin" ContentType="application/vnd.openxmlformats-officedocument.oleObject"/>
  <Override PartName="/xl/embeddings/oleObject157.bin" ContentType="application/vnd.openxmlformats-officedocument.oleObject"/>
  <Override PartName="/xl/embeddings/oleObject158.bin" ContentType="application/vnd.openxmlformats-officedocument.oleObject"/>
  <Override PartName="/xl/embeddings/oleObject159.bin" ContentType="application/vnd.openxmlformats-officedocument.oleObject"/>
  <Override PartName="/xl/embeddings/oleObject160.bin" ContentType="application/vnd.openxmlformats-officedocument.oleObject"/>
  <Override PartName="/xl/embeddings/oleObject161.bin" ContentType="application/vnd.openxmlformats-officedocument.oleObject"/>
  <Override PartName="/xl/embeddings/oleObject162.bin" ContentType="application/vnd.openxmlformats-officedocument.oleObject"/>
  <Override PartName="/xl/embeddings/oleObject163.bin" ContentType="application/vnd.openxmlformats-officedocument.oleObject"/>
  <Override PartName="/xl/embeddings/oleObject164.bin" ContentType="application/vnd.openxmlformats-officedocument.oleObject"/>
  <Override PartName="/xl/embeddings/oleObject165.bin" ContentType="application/vnd.openxmlformats-officedocument.oleObject"/>
  <Override PartName="/xl/embeddings/oleObject166.bin" ContentType="application/vnd.openxmlformats-officedocument.oleObject"/>
  <Override PartName="/xl/embeddings/oleObject167.bin" ContentType="application/vnd.openxmlformats-officedocument.oleObject"/>
  <Override PartName="/xl/embeddings/oleObject168.bin" ContentType="application/vnd.openxmlformats-officedocument.oleObject"/>
  <Override PartName="/xl/embeddings/oleObject169.bin" ContentType="application/vnd.openxmlformats-officedocument.oleObject"/>
  <Override PartName="/xl/embeddings/oleObject170.bin" ContentType="application/vnd.openxmlformats-officedocument.oleObject"/>
  <Override PartName="/xl/embeddings/oleObject171.bin" ContentType="application/vnd.openxmlformats-officedocument.oleObject"/>
  <Override PartName="/xl/embeddings/oleObject172.bin" ContentType="application/vnd.openxmlformats-officedocument.oleObject"/>
  <Override PartName="/xl/embeddings/oleObject173.bin" ContentType="application/vnd.openxmlformats-officedocument.oleObject"/>
  <Override PartName="/xl/embeddings/oleObject174.bin" ContentType="application/vnd.openxmlformats-officedocument.oleObject"/>
  <Override PartName="/xl/embeddings/oleObject175.bin" ContentType="application/vnd.openxmlformats-officedocument.oleObject"/>
  <Override PartName="/xl/embeddings/oleObject176.bin" ContentType="application/vnd.openxmlformats-officedocument.oleObject"/>
  <Override PartName="/xl/embeddings/oleObject177.bin" ContentType="application/vnd.openxmlformats-officedocument.oleObject"/>
  <Override PartName="/xl/embeddings/oleObject178.bin" ContentType="application/vnd.openxmlformats-officedocument.oleObject"/>
  <Override PartName="/xl/embeddings/oleObject179.bin" ContentType="application/vnd.openxmlformats-officedocument.oleObject"/>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drawings/drawing8.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codeName="{26A90621-87C4-6C01-FD6A-EE6E7C140903}"/>
  <workbookPr showInkAnnotation="0" codeName="ThisWorkbook" defaultThemeVersion="124226"/>
  <mc:AlternateContent xmlns:mc="http://schemas.openxmlformats.org/markup-compatibility/2006">
    <mc:Choice Requires="x15">
      <x15ac:absPath xmlns:x15ac="http://schemas.microsoft.com/office/spreadsheetml/2010/11/ac" url="https://rothoblaas.sharepoint.com/sites/dpt-tecd/Shared Documents/16_PROJECTS/049_Foglio Sharp/z_Publications/"/>
    </mc:Choice>
  </mc:AlternateContent>
  <xr:revisionPtr revIDLastSave="73" documentId="8_{F55583D1-8364-48BB-91C8-6CF68BF33624}" xr6:coauthVersionLast="47" xr6:coauthVersionMax="47" xr10:uidLastSave="{BAF74DAE-D559-4BC3-B5AA-CC49FE8C7BD7}"/>
  <bookViews>
    <workbookView xWindow="1560" yWindow="1560" windowWidth="23040" windowHeight="11670" tabRatio="870" xr2:uid="{00000000-000D-0000-FFFF-FFFF00000000}"/>
  </bookViews>
  <sheets>
    <sheet name="CONDITIONS" sheetId="16" r:id="rId1"/>
    <sheet name="Len_DB" sheetId="17" state="veryHidden" r:id="rId2"/>
    <sheet name="Input" sheetId="6" state="veryHidden" r:id="rId3"/>
    <sheet name="RefText_DB" sheetId="22" state="veryHidden" r:id="rId4"/>
    <sheet name="Output" sheetId="23" state="veryHidden" r:id="rId5"/>
    <sheet name="Calculation Report" sheetId="4" state="veryHidden" r:id="rId6"/>
    <sheet name="Relazione di Calcolo AT SUPPORT" sheetId="15" state="veryHidden" r:id="rId7"/>
    <sheet name="EJeff" sheetId="12" state="veryHidden" r:id="rId8"/>
    <sheet name="sharp metal" sheetId="13" state="veryHidden" r:id="rId9"/>
    <sheet name="CLT panel" sheetId="11" state="veryHidden" r:id="rId10"/>
    <sheet name="Dati" sheetId="5" state="veryHidden" r:id="rId11"/>
  </sheets>
  <functionGroups builtInGroupCount="19"/>
  <definedNames>
    <definedName name="_xlnm._FilterDatabase" localSheetId="2" hidden="1">Input!#REF!</definedName>
    <definedName name="Avis">#REF!</definedName>
    <definedName name="bt">#REF!</definedName>
    <definedName name="ciao">#REF!</definedName>
    <definedName name="def_lingua">INDEX(#REF!,MATCH(#REF!,#REF!,0))</definedName>
    <definedName name="Disposizioni">INDIRECT(#REF!)</definedName>
    <definedName name="DISTANZE_MIN">INDEX(#REF!,MATCH(#REF!,#REF!,0))</definedName>
    <definedName name="DOPPIA">#REF!</definedName>
    <definedName name="fcon">#REF!</definedName>
    <definedName name="hp">#REF!</definedName>
    <definedName name="it">#REF!</definedName>
    <definedName name="kcon">#REF!</definedName>
    <definedName name="kconu">#REF!</definedName>
    <definedName name="lt">#REF!</definedName>
    <definedName name="_xlnm.Print_Area" localSheetId="5">'Calculation Report'!$A$2:$M$1006</definedName>
    <definedName name="_xlnm.Print_Area" localSheetId="0">CONDITIONS!$A$1:$F$65</definedName>
    <definedName name="_xlnm.Print_Area" localSheetId="2">Input!$A$1:$M$49</definedName>
    <definedName name="_xlnm.Print_Area" localSheetId="4">Output!$A$1:$M$82</definedName>
    <definedName name="_xlnm.Print_Area" localSheetId="6">'Relazione di Calcolo AT SUPPORT'!$A$1:$I$1088</definedName>
    <definedName name="slim">#REF!</definedName>
    <definedName name="SUTA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5" l="1"/>
  <c r="E117" i="5"/>
  <c r="D117" i="5"/>
  <c r="C117" i="5"/>
  <c r="B117" i="5"/>
  <c r="B113" i="5"/>
  <c r="E112" i="5"/>
  <c r="D112" i="5"/>
  <c r="C111" i="5"/>
  <c r="C110" i="5"/>
  <c r="E109" i="5"/>
  <c r="D109" i="5"/>
  <c r="C109" i="5"/>
  <c r="E108" i="5"/>
  <c r="D108" i="5"/>
  <c r="C108" i="5"/>
  <c r="B108" i="5"/>
  <c r="A82" i="5" a="1"/>
  <c r="A81" i="5" a="1"/>
  <c r="A80" i="5" a="1"/>
  <c r="D128" i="15" s="1"/>
  <c r="A79" i="5" a="1"/>
  <c r="A78" i="5" a="1"/>
  <c r="N65" i="5"/>
  <c r="M65" i="5"/>
  <c r="L65" i="5"/>
  <c r="K65" i="5"/>
  <c r="J65" i="5"/>
  <c r="N64" i="5"/>
  <c r="M64" i="5"/>
  <c r="L64" i="5"/>
  <c r="K64" i="5"/>
  <c r="J64" i="5"/>
  <c r="N63" i="5"/>
  <c r="M63" i="5"/>
  <c r="L63" i="5"/>
  <c r="K63" i="5"/>
  <c r="J63"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4" i="5"/>
  <c r="S13" i="5"/>
  <c r="S12" i="5"/>
  <c r="S11" i="5"/>
  <c r="S10" i="5"/>
  <c r="S9" i="5"/>
  <c r="S8" i="5"/>
  <c r="S7" i="5"/>
  <c r="S6" i="5"/>
  <c r="S5" i="5"/>
  <c r="S4" i="5"/>
  <c r="E48" i="11"/>
  <c r="R47" i="11"/>
  <c r="G47" i="11"/>
  <c r="E47" i="11"/>
  <c r="D47" i="11"/>
  <c r="R46" i="11"/>
  <c r="G46" i="11"/>
  <c r="E46" i="11"/>
  <c r="D46" i="11"/>
  <c r="R45" i="11"/>
  <c r="G45" i="11"/>
  <c r="E45" i="11"/>
  <c r="D45" i="11"/>
  <c r="R44" i="11"/>
  <c r="G44" i="11"/>
  <c r="E44" i="11"/>
  <c r="D44" i="11"/>
  <c r="R43" i="11"/>
  <c r="K43" i="11"/>
  <c r="J43" i="11"/>
  <c r="G43" i="11"/>
  <c r="E43" i="11"/>
  <c r="D43" i="11"/>
  <c r="R42" i="11"/>
  <c r="G42" i="11"/>
  <c r="E42" i="11"/>
  <c r="D42" i="11"/>
  <c r="R41" i="11"/>
  <c r="G41" i="11"/>
  <c r="E41" i="11"/>
  <c r="D41" i="11"/>
  <c r="R40" i="11"/>
  <c r="G40" i="11"/>
  <c r="E40" i="11"/>
  <c r="D40" i="11"/>
  <c r="R39" i="11"/>
  <c r="G39" i="11"/>
  <c r="E39" i="11"/>
  <c r="D39" i="11"/>
  <c r="R38" i="11"/>
  <c r="G38" i="11"/>
  <c r="E38" i="11"/>
  <c r="D38" i="11"/>
  <c r="R37" i="11"/>
  <c r="G37" i="11"/>
  <c r="E37" i="11"/>
  <c r="D37" i="11"/>
  <c r="R36" i="11"/>
  <c r="G36" i="11"/>
  <c r="E36" i="11"/>
  <c r="D36" i="11"/>
  <c r="R35" i="11"/>
  <c r="G35" i="11"/>
  <c r="E35" i="11"/>
  <c r="D35" i="11"/>
  <c r="R34" i="11"/>
  <c r="G34" i="11"/>
  <c r="E34" i="11"/>
  <c r="D34" i="11"/>
  <c r="R33" i="11"/>
  <c r="G33" i="11"/>
  <c r="E33" i="11"/>
  <c r="D33" i="11"/>
  <c r="R32" i="11"/>
  <c r="G32" i="11"/>
  <c r="E32" i="11"/>
  <c r="D32" i="11"/>
  <c r="R31" i="11"/>
  <c r="G31" i="11"/>
  <c r="E31" i="11"/>
  <c r="D31" i="11"/>
  <c r="R30" i="11"/>
  <c r="G30" i="11"/>
  <c r="E30" i="11"/>
  <c r="D30" i="11"/>
  <c r="R29" i="11"/>
  <c r="G29" i="11"/>
  <c r="E29" i="11"/>
  <c r="D29" i="11"/>
  <c r="R28" i="11"/>
  <c r="G28" i="11"/>
  <c r="E28" i="11"/>
  <c r="D28" i="11"/>
  <c r="R27" i="11"/>
  <c r="G27" i="11"/>
  <c r="E27" i="11"/>
  <c r="D27" i="11"/>
  <c r="R26" i="11"/>
  <c r="G26" i="11"/>
  <c r="E26" i="11"/>
  <c r="D26" i="11"/>
  <c r="R25" i="11"/>
  <c r="G25" i="11"/>
  <c r="E25" i="11"/>
  <c r="D25" i="11"/>
  <c r="R24" i="11"/>
  <c r="G24" i="11"/>
  <c r="E24" i="11"/>
  <c r="D24" i="11"/>
  <c r="R23" i="11"/>
  <c r="G23" i="11"/>
  <c r="E23" i="11"/>
  <c r="D23" i="11"/>
  <c r="R22" i="11"/>
  <c r="G22" i="11"/>
  <c r="E22" i="11"/>
  <c r="D22" i="11"/>
  <c r="R21" i="11"/>
  <c r="G21" i="11"/>
  <c r="E21" i="11"/>
  <c r="D21" i="11"/>
  <c r="R20" i="11"/>
  <c r="G20" i="11"/>
  <c r="E20" i="11"/>
  <c r="D20" i="11"/>
  <c r="R19" i="11"/>
  <c r="G19" i="11"/>
  <c r="E19" i="11"/>
  <c r="D19" i="11"/>
  <c r="R18" i="11"/>
  <c r="G18" i="11"/>
  <c r="E18" i="11"/>
  <c r="D18" i="11"/>
  <c r="R17" i="11"/>
  <c r="G17" i="11"/>
  <c r="E17" i="11"/>
  <c r="D17" i="11"/>
  <c r="R16" i="11"/>
  <c r="G16" i="11"/>
  <c r="E16" i="11"/>
  <c r="D16" i="11"/>
  <c r="R15" i="11"/>
  <c r="G15" i="11"/>
  <c r="E15" i="11"/>
  <c r="D15" i="11"/>
  <c r="R14" i="11"/>
  <c r="G14" i="11"/>
  <c r="E14" i="11"/>
  <c r="D14" i="11"/>
  <c r="R13" i="11"/>
  <c r="G13" i="11"/>
  <c r="E13" i="11"/>
  <c r="D13" i="11"/>
  <c r="G12" i="11"/>
  <c r="E12" i="11"/>
  <c r="D12" i="11"/>
  <c r="G11" i="11"/>
  <c r="E11" i="11"/>
  <c r="D11" i="11"/>
  <c r="G10" i="11"/>
  <c r="E10" i="11"/>
  <c r="D10" i="11"/>
  <c r="G9" i="11"/>
  <c r="E9" i="11"/>
  <c r="D9" i="11"/>
  <c r="G8" i="11"/>
  <c r="E8" i="11"/>
  <c r="D8" i="11"/>
  <c r="G7" i="11"/>
  <c r="E7" i="11"/>
  <c r="D7" i="11"/>
  <c r="G6" i="11"/>
  <c r="E6" i="11"/>
  <c r="D6" i="11"/>
  <c r="G5" i="11"/>
  <c r="E5" i="11"/>
  <c r="D5" i="11"/>
  <c r="G4" i="11"/>
  <c r="E4" i="11"/>
  <c r="D4" i="11"/>
  <c r="G14" i="13"/>
  <c r="G13" i="13"/>
  <c r="C13" i="13"/>
  <c r="G11" i="13"/>
  <c r="G9" i="13"/>
  <c r="G8" i="13"/>
  <c r="G7" i="13"/>
  <c r="C7" i="13"/>
  <c r="G6" i="13"/>
  <c r="C6" i="13"/>
  <c r="G4" i="13"/>
  <c r="C4" i="13"/>
  <c r="D200" i="15" s="1"/>
  <c r="J41" i="12"/>
  <c r="I40" i="12"/>
  <c r="H39" i="12"/>
  <c r="G38" i="12"/>
  <c r="F37" i="12"/>
  <c r="E36" i="12"/>
  <c r="D35" i="12"/>
  <c r="C34" i="12"/>
  <c r="O23" i="12"/>
  <c r="M22" i="12"/>
  <c r="L22" i="12"/>
  <c r="AI21" i="12"/>
  <c r="AH21" i="12"/>
  <c r="AG21" i="12"/>
  <c r="AF21" i="12"/>
  <c r="AD21" i="12"/>
  <c r="AC21" i="12"/>
  <c r="AB21" i="12"/>
  <c r="AA21" i="12"/>
  <c r="Y21" i="12"/>
  <c r="X21" i="12"/>
  <c r="W21" i="12"/>
  <c r="V21" i="12"/>
  <c r="U21" i="12"/>
  <c r="T21" i="12"/>
  <c r="R21" i="12"/>
  <c r="Q21" i="12"/>
  <c r="O21" i="12"/>
  <c r="N21" i="12"/>
  <c r="M21" i="12"/>
  <c r="L21" i="12"/>
  <c r="K21" i="12"/>
  <c r="J21" i="12"/>
  <c r="C21" i="12"/>
  <c r="AI20" i="12"/>
  <c r="AH20" i="12"/>
  <c r="AG20" i="12"/>
  <c r="AF20" i="12"/>
  <c r="AD20" i="12"/>
  <c r="AC20" i="12"/>
  <c r="AB20" i="12"/>
  <c r="AA20" i="12"/>
  <c r="Y20" i="12"/>
  <c r="X20" i="12"/>
  <c r="W20" i="12"/>
  <c r="V20" i="12"/>
  <c r="U20" i="12"/>
  <c r="T20" i="12"/>
  <c r="S20" i="12"/>
  <c r="R20" i="12"/>
  <c r="Q20" i="12"/>
  <c r="P20" i="12"/>
  <c r="O20" i="12"/>
  <c r="N20" i="12"/>
  <c r="M20" i="12"/>
  <c r="L20" i="12"/>
  <c r="K20" i="12"/>
  <c r="J20" i="12"/>
  <c r="I20" i="12"/>
  <c r="G20" i="12"/>
  <c r="F20" i="12"/>
  <c r="E20" i="12"/>
  <c r="D20" i="12"/>
  <c r="C20" i="12"/>
  <c r="AI19" i="12"/>
  <c r="AH19" i="12"/>
  <c r="AG19" i="12"/>
  <c r="AF19" i="12"/>
  <c r="AD19" i="12"/>
  <c r="AC19" i="12"/>
  <c r="AB19" i="12"/>
  <c r="AA19" i="12"/>
  <c r="Y19" i="12"/>
  <c r="X19" i="12"/>
  <c r="W19" i="12"/>
  <c r="V19" i="12"/>
  <c r="U19" i="12"/>
  <c r="T19" i="12"/>
  <c r="S19" i="12"/>
  <c r="R19" i="12"/>
  <c r="Q19" i="12"/>
  <c r="P19" i="12"/>
  <c r="O19" i="12"/>
  <c r="N19" i="12"/>
  <c r="M19" i="12"/>
  <c r="L19" i="12"/>
  <c r="K19" i="12"/>
  <c r="J19" i="12"/>
  <c r="I19" i="12"/>
  <c r="G19" i="12"/>
  <c r="F19" i="12"/>
  <c r="E19" i="12"/>
  <c r="D19" i="12"/>
  <c r="C19" i="12"/>
  <c r="AI18" i="12"/>
  <c r="AH18" i="12"/>
  <c r="AG18" i="12"/>
  <c r="AF18" i="12"/>
  <c r="AD18" i="12"/>
  <c r="AC18" i="12"/>
  <c r="AB18" i="12"/>
  <c r="AA18" i="12"/>
  <c r="Y18" i="12"/>
  <c r="X18" i="12"/>
  <c r="W18" i="12"/>
  <c r="V18" i="12"/>
  <c r="U18" i="12"/>
  <c r="T18" i="12"/>
  <c r="S18" i="12"/>
  <c r="R18" i="12"/>
  <c r="Q18" i="12"/>
  <c r="P18" i="12"/>
  <c r="O18" i="12"/>
  <c r="N18" i="12"/>
  <c r="M18" i="12"/>
  <c r="L18" i="12"/>
  <c r="K18" i="12"/>
  <c r="J18" i="12"/>
  <c r="I18" i="12"/>
  <c r="G18" i="12"/>
  <c r="F18" i="12"/>
  <c r="E18" i="12"/>
  <c r="D18" i="12"/>
  <c r="C18" i="12"/>
  <c r="AI17" i="12"/>
  <c r="AH17" i="12"/>
  <c r="AG17" i="12"/>
  <c r="AF17" i="12"/>
  <c r="AD17" i="12"/>
  <c r="AC17" i="12"/>
  <c r="AB17" i="12"/>
  <c r="AA17" i="12"/>
  <c r="Y17" i="12"/>
  <c r="X17" i="12"/>
  <c r="W17" i="12"/>
  <c r="V17" i="12"/>
  <c r="U17" i="12"/>
  <c r="T17" i="12"/>
  <c r="S17" i="12"/>
  <c r="R17" i="12"/>
  <c r="Q17" i="12"/>
  <c r="P17" i="12"/>
  <c r="O17" i="12"/>
  <c r="N17" i="12"/>
  <c r="M17" i="12"/>
  <c r="L17" i="12"/>
  <c r="K17" i="12"/>
  <c r="J17" i="12"/>
  <c r="I17" i="12"/>
  <c r="G17" i="12"/>
  <c r="F17" i="12"/>
  <c r="E17" i="12"/>
  <c r="D17" i="12"/>
  <c r="C17" i="12"/>
  <c r="AI16" i="12"/>
  <c r="AH16" i="12"/>
  <c r="AG16" i="12"/>
  <c r="AF16" i="12"/>
  <c r="AD16" i="12"/>
  <c r="AC16" i="12"/>
  <c r="AB16" i="12"/>
  <c r="AA16" i="12"/>
  <c r="Y16" i="12"/>
  <c r="X16" i="12"/>
  <c r="W16" i="12"/>
  <c r="V16" i="12"/>
  <c r="U16" i="12"/>
  <c r="T16" i="12"/>
  <c r="S16" i="12"/>
  <c r="R16" i="12"/>
  <c r="Q16" i="12"/>
  <c r="P16" i="12"/>
  <c r="O16" i="12"/>
  <c r="N16" i="12"/>
  <c r="M16" i="12"/>
  <c r="L16" i="12"/>
  <c r="K16" i="12"/>
  <c r="J16" i="12"/>
  <c r="I16" i="12"/>
  <c r="G16" i="12"/>
  <c r="F16" i="12"/>
  <c r="E16" i="12"/>
  <c r="D16" i="12"/>
  <c r="C16" i="12"/>
  <c r="AI15" i="12"/>
  <c r="AH15" i="12"/>
  <c r="AG15" i="12"/>
  <c r="AF15" i="12"/>
  <c r="AD15" i="12"/>
  <c r="AC15" i="12"/>
  <c r="AB15" i="12"/>
  <c r="AA15" i="12"/>
  <c r="Y15" i="12"/>
  <c r="X15" i="12"/>
  <c r="W15" i="12"/>
  <c r="V15" i="12"/>
  <c r="U15" i="12"/>
  <c r="T15" i="12"/>
  <c r="S15" i="12"/>
  <c r="R15" i="12"/>
  <c r="Q15" i="12"/>
  <c r="P15" i="12"/>
  <c r="O15" i="12"/>
  <c r="N15" i="12"/>
  <c r="M15" i="12"/>
  <c r="L15" i="12"/>
  <c r="K15" i="12"/>
  <c r="J15" i="12"/>
  <c r="G15" i="12"/>
  <c r="F15" i="12"/>
  <c r="E15" i="12"/>
  <c r="D15" i="12"/>
  <c r="C15" i="12"/>
  <c r="AI14" i="12"/>
  <c r="AH14" i="12"/>
  <c r="AG14" i="12"/>
  <c r="AF14" i="12"/>
  <c r="AD14" i="12"/>
  <c r="AC14" i="12"/>
  <c r="AB14" i="12"/>
  <c r="AA14" i="12"/>
  <c r="Y14" i="12"/>
  <c r="X14" i="12"/>
  <c r="W14" i="12"/>
  <c r="V14" i="12"/>
  <c r="U14" i="12"/>
  <c r="T14" i="12"/>
  <c r="S14" i="12"/>
  <c r="R14" i="12"/>
  <c r="Q14" i="12"/>
  <c r="P14" i="12"/>
  <c r="O14" i="12"/>
  <c r="N14" i="12"/>
  <c r="M14" i="12"/>
  <c r="L14" i="12"/>
  <c r="K14" i="12"/>
  <c r="J14" i="12"/>
  <c r="I14" i="12"/>
  <c r="G14" i="12"/>
  <c r="F14" i="12"/>
  <c r="E14" i="12"/>
  <c r="D14" i="12"/>
  <c r="C14" i="12"/>
  <c r="AI13" i="12"/>
  <c r="AH13" i="12"/>
  <c r="AG13" i="12"/>
  <c r="AF13" i="12"/>
  <c r="AD13" i="12"/>
  <c r="AC13" i="12"/>
  <c r="AB13" i="12"/>
  <c r="AA13" i="12"/>
  <c r="Y13" i="12"/>
  <c r="X13" i="12"/>
  <c r="W13" i="12"/>
  <c r="V13" i="12"/>
  <c r="U13" i="12"/>
  <c r="T13" i="12"/>
  <c r="S13" i="12"/>
  <c r="R13" i="12"/>
  <c r="Q13" i="12"/>
  <c r="P13" i="12"/>
  <c r="O13" i="12"/>
  <c r="N13" i="12"/>
  <c r="M13" i="12"/>
  <c r="L13" i="12"/>
  <c r="K13" i="12"/>
  <c r="J13" i="12"/>
  <c r="I13" i="12"/>
  <c r="G13" i="12"/>
  <c r="F13" i="12"/>
  <c r="E13" i="12"/>
  <c r="D13" i="12"/>
  <c r="C13" i="12"/>
  <c r="AI12" i="12"/>
  <c r="AH12" i="12"/>
  <c r="AG12" i="12"/>
  <c r="AF12" i="12"/>
  <c r="AD12" i="12"/>
  <c r="AC12" i="12"/>
  <c r="AB12" i="12"/>
  <c r="AA12" i="12"/>
  <c r="Y12" i="12"/>
  <c r="X12" i="12"/>
  <c r="W12" i="12"/>
  <c r="V12" i="12"/>
  <c r="U12" i="12"/>
  <c r="T12" i="12"/>
  <c r="S12" i="12"/>
  <c r="R12" i="12"/>
  <c r="Q12" i="12"/>
  <c r="P12" i="12"/>
  <c r="O12" i="12"/>
  <c r="N12" i="12"/>
  <c r="M12" i="12"/>
  <c r="L12" i="12"/>
  <c r="K12" i="12"/>
  <c r="J12" i="12"/>
  <c r="I12" i="12"/>
  <c r="G12" i="12"/>
  <c r="F12" i="12"/>
  <c r="E12" i="12"/>
  <c r="D12" i="12"/>
  <c r="C12" i="12"/>
  <c r="AI11" i="12"/>
  <c r="AH11" i="12"/>
  <c r="AG11" i="12"/>
  <c r="AF11" i="12"/>
  <c r="AD11" i="12"/>
  <c r="AC11" i="12"/>
  <c r="AB11" i="12"/>
  <c r="AA11" i="12"/>
  <c r="Y11" i="12"/>
  <c r="X11" i="12"/>
  <c r="W11" i="12"/>
  <c r="V11" i="12"/>
  <c r="U11" i="12"/>
  <c r="T11" i="12"/>
  <c r="S11" i="12"/>
  <c r="R11" i="12"/>
  <c r="Q11" i="12"/>
  <c r="P11" i="12"/>
  <c r="O11" i="12"/>
  <c r="N11" i="12"/>
  <c r="M11" i="12"/>
  <c r="L11" i="12"/>
  <c r="K11" i="12"/>
  <c r="J11" i="12"/>
  <c r="I11" i="12"/>
  <c r="G11" i="12"/>
  <c r="F11" i="12"/>
  <c r="E11" i="12"/>
  <c r="D11" i="12"/>
  <c r="C11" i="12"/>
  <c r="AI10" i="12"/>
  <c r="AH10" i="12"/>
  <c r="AG10" i="12"/>
  <c r="AF10" i="12"/>
  <c r="AD10" i="12"/>
  <c r="AC10" i="12"/>
  <c r="AB10" i="12"/>
  <c r="AA10" i="12"/>
  <c r="Y10" i="12"/>
  <c r="X10" i="12"/>
  <c r="W10" i="12"/>
  <c r="V10" i="12"/>
  <c r="U10" i="12"/>
  <c r="T10" i="12"/>
  <c r="S10" i="12"/>
  <c r="R10" i="12"/>
  <c r="Q10" i="12"/>
  <c r="P10" i="12"/>
  <c r="O10" i="12"/>
  <c r="N10" i="12"/>
  <c r="M10" i="12"/>
  <c r="L10" i="12"/>
  <c r="K10" i="12"/>
  <c r="J10" i="12"/>
  <c r="I10" i="12"/>
  <c r="G10" i="12"/>
  <c r="F10" i="12"/>
  <c r="E10" i="12"/>
  <c r="D10" i="12"/>
  <c r="AG3" i="12"/>
  <c r="M3" i="12"/>
  <c r="K3" i="12"/>
  <c r="H3" i="12"/>
  <c r="F3" i="12"/>
  <c r="E3" i="12"/>
  <c r="D3" i="12"/>
  <c r="B3" i="12"/>
  <c r="AG2" i="12"/>
  <c r="K2" i="12"/>
  <c r="G969" i="15"/>
  <c r="G965" i="15"/>
  <c r="G960" i="15"/>
  <c r="G957" i="15"/>
  <c r="G953" i="15"/>
  <c r="G950" i="15"/>
  <c r="G944" i="15"/>
  <c r="G941" i="15"/>
  <c r="G928" i="15"/>
  <c r="G923" i="15"/>
  <c r="G895" i="15"/>
  <c r="G891" i="15"/>
  <c r="G887" i="15"/>
  <c r="G884" i="15"/>
  <c r="G880" i="15"/>
  <c r="G878" i="15"/>
  <c r="G873" i="15"/>
  <c r="G871" i="15"/>
  <c r="E713" i="15"/>
  <c r="E664" i="15"/>
  <c r="E650" i="15"/>
  <c r="G447" i="15"/>
  <c r="G442" i="15"/>
  <c r="G438" i="15"/>
  <c r="G435" i="15"/>
  <c r="G430" i="15"/>
  <c r="G428" i="15"/>
  <c r="G424" i="15"/>
  <c r="G422" i="15"/>
  <c r="G406" i="15"/>
  <c r="G400" i="15"/>
  <c r="G397" i="15"/>
  <c r="G370" i="15"/>
  <c r="G365" i="15"/>
  <c r="G361" i="15"/>
  <c r="G358" i="15"/>
  <c r="G352" i="15"/>
  <c r="G350" i="15"/>
  <c r="G346" i="15"/>
  <c r="G344" i="15"/>
  <c r="G327" i="15"/>
  <c r="G318" i="15"/>
  <c r="G282" i="15"/>
  <c r="G278" i="15"/>
  <c r="G272" i="15"/>
  <c r="G269" i="15"/>
  <c r="G263" i="15"/>
  <c r="G260" i="15"/>
  <c r="G255" i="15"/>
  <c r="G252" i="15"/>
  <c r="G244" i="15"/>
  <c r="G243" i="15"/>
  <c r="G240" i="15"/>
  <c r="G239" i="15"/>
  <c r="G236" i="15"/>
  <c r="G234" i="15"/>
  <c r="G231" i="15"/>
  <c r="G230" i="15"/>
  <c r="G225" i="15"/>
  <c r="G224" i="15"/>
  <c r="G223" i="15"/>
  <c r="G221" i="15"/>
  <c r="C221" i="15"/>
  <c r="G219" i="15"/>
  <c r="C219" i="15"/>
  <c r="G217" i="15"/>
  <c r="G202" i="15"/>
  <c r="G196" i="15"/>
  <c r="G192" i="15"/>
  <c r="G191" i="15"/>
  <c r="G189" i="15"/>
  <c r="G188" i="15"/>
  <c r="D185" i="15"/>
  <c r="D184" i="15"/>
  <c r="D182" i="15"/>
  <c r="I181" i="15"/>
  <c r="D181" i="15"/>
  <c r="D180" i="15"/>
  <c r="D179" i="15"/>
  <c r="I178" i="15"/>
  <c r="M177" i="15"/>
  <c r="I177" i="15"/>
  <c r="D177" i="15"/>
  <c r="M176" i="15"/>
  <c r="I176" i="15"/>
  <c r="D176" i="15"/>
  <c r="I175" i="15"/>
  <c r="D175" i="15"/>
  <c r="I174" i="15"/>
  <c r="D174" i="15"/>
  <c r="I173" i="15"/>
  <c r="D173" i="15"/>
  <c r="D172" i="15"/>
  <c r="D167" i="15"/>
  <c r="D161" i="15"/>
  <c r="D160" i="15"/>
  <c r="D158" i="15"/>
  <c r="I157" i="15"/>
  <c r="D157" i="15"/>
  <c r="D156" i="15"/>
  <c r="I155" i="15"/>
  <c r="D155" i="15"/>
  <c r="I154" i="15"/>
  <c r="I153" i="15"/>
  <c r="D153" i="15"/>
  <c r="I152" i="15"/>
  <c r="D152" i="15"/>
  <c r="I151" i="15"/>
  <c r="D151" i="15"/>
  <c r="I150" i="15"/>
  <c r="D150" i="15"/>
  <c r="I149" i="15"/>
  <c r="D149" i="15"/>
  <c r="D148" i="15"/>
  <c r="D143" i="15"/>
  <c r="H138" i="15"/>
  <c r="H136" i="15"/>
  <c r="H134" i="15"/>
  <c r="D129" i="15"/>
  <c r="H126" i="15"/>
  <c r="H125" i="15"/>
  <c r="H123" i="15"/>
  <c r="F107" i="15"/>
  <c r="F106" i="15"/>
  <c r="F105" i="15"/>
  <c r="B105" i="15"/>
  <c r="C53" i="15"/>
  <c r="C51" i="15"/>
  <c r="C49" i="15"/>
  <c r="C47" i="15"/>
  <c r="D9" i="15"/>
  <c r="D7" i="15"/>
  <c r="D5" i="15"/>
  <c r="G994" i="4"/>
  <c r="G984" i="4"/>
  <c r="G968" i="4"/>
  <c r="G965" i="4"/>
  <c r="G962" i="4"/>
  <c r="D949" i="4"/>
  <c r="E946" i="4"/>
  <c r="D927" i="4"/>
  <c r="E924" i="4"/>
  <c r="G881" i="4"/>
  <c r="G877" i="4"/>
  <c r="G872" i="4"/>
  <c r="G869" i="4"/>
  <c r="G865" i="4"/>
  <c r="G862" i="4"/>
  <c r="G856" i="4"/>
  <c r="G853" i="4"/>
  <c r="G840" i="4"/>
  <c r="G835" i="4"/>
  <c r="G807" i="4"/>
  <c r="G803" i="4"/>
  <c r="G799" i="4"/>
  <c r="G796" i="4"/>
  <c r="G792" i="4"/>
  <c r="G790" i="4"/>
  <c r="G785" i="4"/>
  <c r="G783" i="4"/>
  <c r="G776" i="4"/>
  <c r="G769" i="4"/>
  <c r="E735" i="4"/>
  <c r="E687" i="4"/>
  <c r="E678" i="4"/>
  <c r="G628" i="4"/>
  <c r="G621" i="4"/>
  <c r="E584" i="4"/>
  <c r="E539" i="4"/>
  <c r="G535" i="4"/>
  <c r="C539" i="4" s="1"/>
  <c r="E528" i="4"/>
  <c r="G482" i="4"/>
  <c r="G471" i="4"/>
  <c r="G435" i="4"/>
  <c r="E389" i="4"/>
  <c r="E377" i="4"/>
  <c r="G306" i="4"/>
  <c r="B270" i="4" a="1"/>
  <c r="E268" i="4"/>
  <c r="B266" i="4" a="1"/>
  <c r="E264" i="4"/>
  <c r="E262" i="4"/>
  <c r="E260" i="4"/>
  <c r="E258" i="4"/>
  <c r="E257" i="4"/>
  <c r="B256" i="4" a="1"/>
  <c r="E254" i="4"/>
  <c r="B254" i="4" a="1"/>
  <c r="E252" i="4"/>
  <c r="B252" i="4" a="1"/>
  <c r="E251" i="4"/>
  <c r="B251" i="4" a="1"/>
  <c r="B249" i="4" a="1"/>
  <c r="K247" i="4"/>
  <c r="H247" i="4" a="1"/>
  <c r="E247" i="4"/>
  <c r="B247" i="4" a="1"/>
  <c r="K246" i="4"/>
  <c r="H246" i="4" a="1"/>
  <c r="E246" i="4"/>
  <c r="B246" i="4" a="1"/>
  <c r="K244" i="4"/>
  <c r="E244" i="4"/>
  <c r="K243" i="4"/>
  <c r="E243" i="4"/>
  <c r="H241" i="4" a="1"/>
  <c r="B241" i="4" a="1"/>
  <c r="B239" i="4" a="1"/>
  <c r="B234" i="4" a="1"/>
  <c r="B230" i="4" a="1"/>
  <c r="E221" i="4"/>
  <c r="B220" i="4" a="1"/>
  <c r="E218" i="4"/>
  <c r="B218" i="4" a="1"/>
  <c r="E216" i="4"/>
  <c r="B216" i="4" a="1"/>
  <c r="E215" i="4"/>
  <c r="B215" i="4" a="1"/>
  <c r="B213" i="4" a="1"/>
  <c r="K211" i="4"/>
  <c r="H211" i="4" a="1"/>
  <c r="E211" i="4"/>
  <c r="B211" i="4" a="1"/>
  <c r="K210" i="4"/>
  <c r="H210" i="4" a="1"/>
  <c r="E210" i="4"/>
  <c r="B210" i="4" a="1"/>
  <c r="K208" i="4"/>
  <c r="E208" i="4"/>
  <c r="H205" i="4" a="1"/>
  <c r="B205" i="4" a="1"/>
  <c r="B203" i="4" a="1"/>
  <c r="H197" i="4" a="1"/>
  <c r="B197" i="4" a="1"/>
  <c r="B187" i="4" a="1"/>
  <c r="E185" i="4"/>
  <c r="B184" i="4" a="1"/>
  <c r="E182" i="4"/>
  <c r="B182" i="4" a="1"/>
  <c r="E180" i="4"/>
  <c r="B180" i="4" a="1"/>
  <c r="E179" i="4"/>
  <c r="B179" i="4" a="1"/>
  <c r="B177" i="4" a="1"/>
  <c r="K175" i="4"/>
  <c r="H175" i="4" a="1"/>
  <c r="E175" i="4"/>
  <c r="B175" i="4" a="1"/>
  <c r="K174" i="4"/>
  <c r="H174" i="4" a="1"/>
  <c r="E174" i="4"/>
  <c r="B174" i="4" a="1"/>
  <c r="H172" i="4" a="1"/>
  <c r="B172" i="4" a="1"/>
  <c r="B170" i="4" a="1"/>
  <c r="K168" i="4"/>
  <c r="H168" i="4" a="1"/>
  <c r="E168" i="4"/>
  <c r="B168" i="4" a="1"/>
  <c r="K167" i="4"/>
  <c r="H167" i="4" a="1"/>
  <c r="E167" i="4"/>
  <c r="B167" i="4" a="1"/>
  <c r="B165" i="4" a="1"/>
  <c r="G161" i="4"/>
  <c r="B161" i="4" a="1"/>
  <c r="G160" i="4"/>
  <c r="B160" i="4" a="1"/>
  <c r="E158" i="4"/>
  <c r="B158" i="4" a="1"/>
  <c r="E157" i="4"/>
  <c r="B157" i="4" a="1"/>
  <c r="B155" i="4" a="1"/>
  <c r="K152" i="4"/>
  <c r="F152" i="4"/>
  <c r="E152" i="4"/>
  <c r="K151" i="4"/>
  <c r="F151" i="4"/>
  <c r="E151" i="4"/>
  <c r="K150" i="4"/>
  <c r="E150" i="4"/>
  <c r="B148" i="4" a="1"/>
  <c r="K146" i="4"/>
  <c r="K145" i="4"/>
  <c r="H145" i="4" a="1"/>
  <c r="B145" i="4" a="1"/>
  <c r="H143" i="4" a="1"/>
  <c r="B143" i="4" a="1"/>
  <c r="H142" i="4" a="1"/>
  <c r="B142" i="4" a="1"/>
  <c r="H141" i="4" a="1"/>
  <c r="B141" i="4" a="1"/>
  <c r="K137" i="4"/>
  <c r="E137" i="4"/>
  <c r="K136" i="4"/>
  <c r="E136" i="4"/>
  <c r="K135" i="4"/>
  <c r="H135" i="4" a="1"/>
  <c r="E135" i="4"/>
  <c r="B135" i="4" a="1"/>
  <c r="K133" i="4"/>
  <c r="H133" i="4" a="1"/>
  <c r="E133" i="4"/>
  <c r="B133" i="4" a="1"/>
  <c r="K131" i="4"/>
  <c r="H131" i="4" a="1"/>
  <c r="E131" i="4"/>
  <c r="B131" i="4" a="1"/>
  <c r="H129" i="4"/>
  <c r="B129" i="4"/>
  <c r="H127" i="4" a="1"/>
  <c r="B127" i="4" a="1"/>
  <c r="H125" i="4" a="1"/>
  <c r="B125" i="4" a="1"/>
  <c r="B123" i="4" a="1"/>
  <c r="E119" i="4"/>
  <c r="B119" i="4" a="1"/>
  <c r="K118" i="4"/>
  <c r="K117" i="4"/>
  <c r="H117" i="4" a="1"/>
  <c r="E117" i="4"/>
  <c r="B117" i="4" a="1"/>
  <c r="K116" i="4"/>
  <c r="H116" i="4" a="1"/>
  <c r="E116" i="4"/>
  <c r="B116" i="4" a="1"/>
  <c r="H114" i="4" a="1"/>
  <c r="B114" i="4" a="1"/>
  <c r="B112" i="4" a="1"/>
  <c r="C107" i="4"/>
  <c r="C105" i="4"/>
  <c r="C104" i="4"/>
  <c r="C103" i="4"/>
  <c r="C102" i="4"/>
  <c r="J100" i="4"/>
  <c r="I100" i="4"/>
  <c r="C100" i="4"/>
  <c r="J99" i="4"/>
  <c r="I99" i="4"/>
  <c r="C99" i="4"/>
  <c r="J98" i="4"/>
  <c r="I98" i="4"/>
  <c r="C98" i="4"/>
  <c r="J97" i="4"/>
  <c r="I97" i="4"/>
  <c r="C97" i="4"/>
  <c r="J96" i="4"/>
  <c r="I96" i="4"/>
  <c r="C96" i="4"/>
  <c r="J95" i="4"/>
  <c r="I95" i="4"/>
  <c r="C95" i="4"/>
  <c r="J94" i="4"/>
  <c r="I94" i="4"/>
  <c r="C94" i="4"/>
  <c r="B93" i="4" a="1"/>
  <c r="I90" i="4"/>
  <c r="I89" i="4"/>
  <c r="C89" i="4"/>
  <c r="B89" i="4" a="1"/>
  <c r="B87" i="4" a="1"/>
  <c r="C85" i="4"/>
  <c r="C83" i="4"/>
  <c r="C82" i="4"/>
  <c r="C81" i="4"/>
  <c r="C80" i="4"/>
  <c r="J78" i="4"/>
  <c r="I78" i="4"/>
  <c r="C78" i="4"/>
  <c r="J77" i="4"/>
  <c r="I77" i="4"/>
  <c r="C77" i="4"/>
  <c r="J76" i="4"/>
  <c r="I76" i="4"/>
  <c r="C76" i="4"/>
  <c r="J75" i="4"/>
  <c r="I75" i="4"/>
  <c r="C75" i="4"/>
  <c r="J74" i="4"/>
  <c r="I74" i="4"/>
  <c r="C74" i="4"/>
  <c r="J73" i="4"/>
  <c r="I73" i="4"/>
  <c r="C73" i="4"/>
  <c r="J72" i="4"/>
  <c r="I72" i="4"/>
  <c r="C72" i="4"/>
  <c r="B71" i="4" a="1"/>
  <c r="I68" i="4"/>
  <c r="I67" i="4"/>
  <c r="C67" i="4"/>
  <c r="B67" i="4" a="1"/>
  <c r="B65" i="4" a="1"/>
  <c r="E60" i="4"/>
  <c r="B60" i="4" a="1"/>
  <c r="E59" i="4"/>
  <c r="B59" i="4" a="1"/>
  <c r="E58" i="4"/>
  <c r="B58" i="4" a="1"/>
  <c r="B56" i="4" a="1"/>
  <c r="I52" i="4"/>
  <c r="H52" i="4" a="1"/>
  <c r="E52" i="4"/>
  <c r="B52" i="4" a="1"/>
  <c r="E51" i="4"/>
  <c r="B51" i="4" a="1"/>
  <c r="I50" i="4"/>
  <c r="H50" i="4" a="1"/>
  <c r="E50" i="4"/>
  <c r="B50" i="4" a="1"/>
  <c r="B48" i="4" a="1"/>
  <c r="K46" i="4"/>
  <c r="H46" i="4" a="1"/>
  <c r="E46" i="4"/>
  <c r="B46" i="4" a="1"/>
  <c r="K45" i="4"/>
  <c r="H45" i="4" a="1"/>
  <c r="E45" i="4"/>
  <c r="B45" i="4" a="1"/>
  <c r="K43" i="4"/>
  <c r="H43" i="4" a="1"/>
  <c r="E43" i="4"/>
  <c r="B43" i="4" a="1"/>
  <c r="I41" i="4"/>
  <c r="H41" i="4" a="1"/>
  <c r="C41" i="4"/>
  <c r="B41" i="4" a="1"/>
  <c r="H39" i="4" a="1"/>
  <c r="B39" i="4" a="1"/>
  <c r="B35" i="4" a="1"/>
  <c r="I28" i="4"/>
  <c r="D28" i="4"/>
  <c r="I26" i="4" a="1"/>
  <c r="D26" i="4" a="1"/>
  <c r="I24" i="4"/>
  <c r="D24" i="4"/>
  <c r="I22" i="4" a="1"/>
  <c r="D22" i="4" a="1"/>
  <c r="D17" i="4"/>
  <c r="D15" i="4"/>
  <c r="J13" i="4"/>
  <c r="C7" i="4" a="1"/>
  <c r="H79" i="23" a="1"/>
  <c r="B79" i="23"/>
  <c r="H75" i="23" a="1"/>
  <c r="B75" i="23" a="1"/>
  <c r="E73" i="23"/>
  <c r="B73" i="23" a="1"/>
  <c r="B72" i="23" a="1"/>
  <c r="H71" i="23" a="1"/>
  <c r="D71" i="23"/>
  <c r="B71" i="23" a="1"/>
  <c r="B67" i="23" a="1"/>
  <c r="J63" i="23"/>
  <c r="B63" i="23" a="1"/>
  <c r="B61" i="23" a="1"/>
  <c r="B57" i="23" a="1"/>
  <c r="J55" i="23"/>
  <c r="B55" i="23" a="1"/>
  <c r="B53" i="23" a="1"/>
  <c r="B49" i="23" a="1"/>
  <c r="B47" i="23" a="1"/>
  <c r="B44" i="23" a="1"/>
  <c r="B41" i="23" a="1"/>
  <c r="H39" i="23" a="1"/>
  <c r="B39" i="23" a="1"/>
  <c r="H38" i="23" a="1"/>
  <c r="B38" i="23" a="1"/>
  <c r="H35" i="23" a="1"/>
  <c r="B35" i="23" a="1"/>
  <c r="H34" i="23" a="1"/>
  <c r="B34" i="23" a="1"/>
  <c r="H31" i="23" a="1"/>
  <c r="B31" i="23" a="1"/>
  <c r="B27" i="23" a="1"/>
  <c r="B25" i="23" a="1"/>
  <c r="B22" i="23" a="1"/>
  <c r="H20" i="23" a="1"/>
  <c r="B20" i="23" a="1"/>
  <c r="H19" i="23" a="1"/>
  <c r="B19" i="23" a="1"/>
  <c r="H16" i="23" a="1"/>
  <c r="B16" i="23" a="1"/>
  <c r="B12" i="23" a="1"/>
  <c r="C10" i="23"/>
  <c r="C9" i="23"/>
  <c r="C8" i="23"/>
  <c r="C7" i="23"/>
  <c r="I6" i="23"/>
  <c r="H6" i="23" a="1"/>
  <c r="C6" i="23"/>
  <c r="I5" i="23"/>
  <c r="H5" i="23" a="1"/>
  <c r="B17" i="22"/>
  <c r="B16" i="22"/>
  <c r="B15" i="22"/>
  <c r="K46" i="6"/>
  <c r="E46" i="6"/>
  <c r="K45" i="6"/>
  <c r="E45" i="6"/>
  <c r="H44" i="6" a="1"/>
  <c r="B44" i="6" a="1"/>
  <c r="H43" i="6" a="1"/>
  <c r="B43" i="6" a="1"/>
  <c r="K42" i="6"/>
  <c r="H42" i="6" a="1"/>
  <c r="E42" i="6"/>
  <c r="B42" i="6" a="1"/>
  <c r="H41" i="6" a="1"/>
  <c r="B41" i="6" a="1"/>
  <c r="H39" i="6" a="1"/>
  <c r="B39" i="6" a="1"/>
  <c r="B37" i="6" a="1"/>
  <c r="B33" i="6" a="1"/>
  <c r="B31" i="6" a="1"/>
  <c r="H30" i="6" a="1"/>
  <c r="B30" i="6" a="1"/>
  <c r="H29" i="6" a="1"/>
  <c r="E29" i="6"/>
  <c r="B29" i="6" a="1"/>
  <c r="K28" i="6"/>
  <c r="H28" i="6" a="1"/>
  <c r="B28" i="6" a="1"/>
  <c r="H26" i="6" a="1"/>
  <c r="B26" i="6" a="1"/>
  <c r="B24" i="6" a="1"/>
  <c r="H22" i="6" a="1"/>
  <c r="B22" i="6" a="1"/>
  <c r="H20" i="6" a="1"/>
  <c r="B20" i="6" a="1"/>
  <c r="B18" i="6" a="1"/>
  <c r="B16" i="6" a="1"/>
  <c r="H15" i="6" a="1"/>
  <c r="B15" i="6" a="1"/>
  <c r="H14" i="6" a="1"/>
  <c r="B14" i="6" a="1"/>
  <c r="B12" i="6" a="1"/>
  <c r="B10" i="6" a="1"/>
  <c r="B10" i="23" s="1"/>
  <c r="B9" i="6" a="1"/>
  <c r="B9" i="23" s="1"/>
  <c r="B8" i="6" a="1"/>
  <c r="B8" i="23" s="1"/>
  <c r="B7" i="6" a="1"/>
  <c r="B7" i="23" s="1"/>
  <c r="H6" i="6" a="1"/>
  <c r="B6" i="6" a="1"/>
  <c r="B6" i="23" s="1"/>
  <c r="H5" i="6" a="1"/>
  <c r="C5" i="6"/>
  <c r="B5" i="6" a="1"/>
  <c r="B5" i="23" s="1"/>
  <c r="B3" i="6" a="1"/>
  <c r="B3" i="23" s="1"/>
  <c r="A66" i="16"/>
  <c r="C63" i="16"/>
  <c r="B61" i="16"/>
  <c r="C59" i="16"/>
  <c r="B57" i="16"/>
  <c r="C54" i="16"/>
  <c r="B52" i="16"/>
  <c r="C49" i="16"/>
  <c r="B47" i="16"/>
  <c r="C45" i="16"/>
  <c r="B43" i="16"/>
  <c r="C41" i="16"/>
  <c r="B39" i="16"/>
  <c r="C37" i="16"/>
  <c r="B35" i="16"/>
  <c r="C33" i="16"/>
  <c r="B31" i="16"/>
  <c r="C29" i="16"/>
  <c r="B27" i="16"/>
  <c r="C24" i="16"/>
  <c r="B22" i="16"/>
  <c r="C20" i="16"/>
  <c r="B18" i="16"/>
  <c r="C16" i="16"/>
  <c r="B14" i="16"/>
  <c r="C7" i="16"/>
  <c r="D6" i="16"/>
  <c r="E2" i="16"/>
  <c r="C11" i="13" l="1"/>
  <c r="C14" i="13" s="1"/>
  <c r="C8" i="13"/>
  <c r="C9" i="13" s="1"/>
  <c r="D539" i="4"/>
  <c r="F539" i="4"/>
  <c r="I180" i="15"/>
  <c r="I156" i="15"/>
  <c r="C5" i="23"/>
  <c r="K11" i="4"/>
  <c r="E146" i="4" l="1"/>
  <c r="E145" i="4"/>
  <c r="G597" i="4" s="1"/>
  <c r="G610" i="4" s="1"/>
  <c r="G212" i="15"/>
  <c r="G726" i="15" s="1"/>
  <c r="G739" i="15" s="1"/>
  <c r="E141" i="4"/>
  <c r="G207" i="15"/>
  <c r="G175" i="15"/>
  <c r="G178" i="15"/>
  <c r="G173" i="15"/>
  <c r="G176" i="15"/>
  <c r="G214" i="15"/>
  <c r="G174" i="15"/>
  <c r="G177" i="15"/>
  <c r="G152" i="15"/>
  <c r="G155" i="15"/>
  <c r="G149" i="15"/>
  <c r="G153" i="15"/>
  <c r="G154" i="15"/>
  <c r="G151" i="15"/>
  <c r="G150" i="15"/>
  <c r="G747" i="4" l="1"/>
  <c r="G754" i="4" s="1"/>
  <c r="G446" i="4"/>
  <c r="G459" i="4" s="1"/>
  <c r="E142" i="4"/>
  <c r="K141" i="4"/>
  <c r="G814" i="4"/>
  <c r="G818" i="4" s="1"/>
  <c r="G846" i="4"/>
  <c r="G888" i="4" s="1"/>
  <c r="G892" i="4" s="1"/>
  <c r="G210" i="15"/>
  <c r="G902" i="15"/>
  <c r="G906" i="15" s="1"/>
  <c r="G934" i="15"/>
  <c r="G976" i="15" s="1"/>
  <c r="G980" i="15" s="1"/>
  <c r="G577" i="15"/>
  <c r="E841" i="15"/>
  <c r="G588" i="15"/>
  <c r="G601" i="15" s="1"/>
  <c r="G853" i="15"/>
  <c r="G860" i="15" s="1"/>
  <c r="E796" i="15"/>
  <c r="E531" i="15"/>
  <c r="E519" i="15"/>
  <c r="E787" i="15"/>
  <c r="K142" i="4" l="1"/>
  <c r="E189" i="4"/>
  <c r="K199" i="4"/>
  <c r="E236" i="4"/>
  <c r="E222" i="4" s="1"/>
  <c r="E272" i="4"/>
  <c r="G312" i="4" s="1"/>
  <c r="G821" i="4"/>
  <c r="G823" i="4" s="1"/>
  <c r="G895" i="4"/>
  <c r="G898" i="4" s="1"/>
  <c r="G290" i="15"/>
  <c r="G336" i="15"/>
  <c r="G376" i="15" s="1"/>
  <c r="G414" i="15"/>
  <c r="G453" i="15" s="1"/>
  <c r="G909" i="15"/>
  <c r="G911" i="15"/>
  <c r="G915" i="15" s="1"/>
  <c r="G983" i="15"/>
  <c r="G986" i="15"/>
  <c r="G991" i="15" s="1"/>
  <c r="E191" i="4" l="1"/>
  <c r="E224" i="4"/>
  <c r="G315" i="4"/>
  <c r="G827" i="4"/>
  <c r="G917" i="4"/>
  <c r="G975" i="4"/>
  <c r="G978" i="4"/>
  <c r="G920" i="4"/>
  <c r="B927" i="4" s="1"/>
  <c r="G933" i="4"/>
  <c r="G903" i="4"/>
  <c r="G939" i="4"/>
  <c r="G294" i="15"/>
  <c r="G379" i="15"/>
  <c r="G456" i="15"/>
  <c r="E193" i="4" l="1"/>
  <c r="E195" i="4"/>
  <c r="G398" i="4" s="1"/>
  <c r="G410" i="4" s="1"/>
  <c r="E226" i="4"/>
  <c r="E228" i="4"/>
  <c r="G547" i="4" s="1"/>
  <c r="G558" i="4" s="1"/>
  <c r="G318" i="4"/>
  <c r="G320" i="4"/>
  <c r="G695" i="4" s="1"/>
  <c r="G710" i="4" s="1"/>
  <c r="G996" i="4"/>
  <c r="J79" i="23" s="1"/>
  <c r="G990" i="4"/>
  <c r="G992" i="4" s="1"/>
  <c r="K71" i="23"/>
  <c r="G971" i="4"/>
  <c r="E55" i="23"/>
  <c r="L55" i="23" s="1"/>
  <c r="F927" i="4"/>
  <c r="C927" i="4"/>
  <c r="G300" i="15"/>
  <c r="G303" i="15" s="1"/>
  <c r="G382" i="15"/>
  <c r="G384" i="15" s="1"/>
  <c r="G459" i="15"/>
  <c r="G461" i="15"/>
  <c r="G804" i="15" s="1"/>
  <c r="G816" i="15" s="1"/>
  <c r="G834" i="15"/>
  <c r="G942" i="4"/>
  <c r="G567" i="15" l="1"/>
  <c r="G540" i="15"/>
  <c r="G552" i="15" s="1"/>
  <c r="G570" i="15"/>
  <c r="G441" i="4"/>
  <c r="G338" i="4"/>
  <c r="G352" i="4" s="1"/>
  <c r="E199" i="4"/>
  <c r="G344" i="4"/>
  <c r="G355" i="4" s="1"/>
  <c r="G404" i="4"/>
  <c r="G413" i="4" s="1"/>
  <c r="E420" i="4" s="1"/>
  <c r="F420" i="4"/>
  <c r="J19" i="23"/>
  <c r="L19" i="23" s="1"/>
  <c r="H420" i="4"/>
  <c r="G493" i="4"/>
  <c r="G504" i="4" s="1"/>
  <c r="G591" i="4"/>
  <c r="E232" i="4"/>
  <c r="G521" i="4"/>
  <c r="G499" i="4"/>
  <c r="G507" i="4" s="1"/>
  <c r="G552" i="4"/>
  <c r="G561" i="4" s="1"/>
  <c r="E568" i="4" s="1"/>
  <c r="G639" i="4"/>
  <c r="G651" i="4" s="1"/>
  <c r="G742" i="4"/>
  <c r="G326" i="4"/>
  <c r="G670" i="4"/>
  <c r="G645" i="4"/>
  <c r="G654" i="4" s="1"/>
  <c r="G685" i="4"/>
  <c r="C687" i="4" s="1"/>
  <c r="G704" i="4"/>
  <c r="G713" i="4" s="1"/>
  <c r="E720" i="4" s="1"/>
  <c r="E79" i="23"/>
  <c r="L79" i="23" s="1"/>
  <c r="E998" i="4"/>
  <c r="B81" i="23"/>
  <c r="D81" i="23"/>
  <c r="E81" i="23"/>
  <c r="H81" i="23" s="1"/>
  <c r="F81" i="23"/>
  <c r="G479" i="15"/>
  <c r="G493" i="15" s="1"/>
  <c r="E504" i="15" s="1"/>
  <c r="G583" i="15"/>
  <c r="G309" i="15"/>
  <c r="G512" i="15"/>
  <c r="G524" i="15"/>
  <c r="G485" i="15"/>
  <c r="G496" i="15" s="1"/>
  <c r="J512" i="15"/>
  <c r="G546" i="15"/>
  <c r="G555" i="15" s="1"/>
  <c r="E562" i="15" s="1"/>
  <c r="G428" i="4"/>
  <c r="E577" i="15"/>
  <c r="G389" i="15"/>
  <c r="G618" i="15"/>
  <c r="G626" i="15" s="1"/>
  <c r="G657" i="15"/>
  <c r="C664" i="15" s="1"/>
  <c r="G640" i="15"/>
  <c r="C650" i="15" s="1"/>
  <c r="G681" i="15"/>
  <c r="G690" i="15" s="1"/>
  <c r="G720" i="15"/>
  <c r="G612" i="15"/>
  <c r="G623" i="15" s="1"/>
  <c r="G748" i="15"/>
  <c r="G760" i="15" s="1"/>
  <c r="G848" i="15"/>
  <c r="G467" i="15"/>
  <c r="G794" i="15"/>
  <c r="C796" i="15" s="1"/>
  <c r="G810" i="15"/>
  <c r="G819" i="15" s="1"/>
  <c r="E826" i="15" s="1"/>
  <c r="G779" i="15"/>
  <c r="C787" i="15" s="1"/>
  <c r="G754" i="15"/>
  <c r="G763" i="15" s="1"/>
  <c r="C841" i="15"/>
  <c r="G728" i="4"/>
  <c r="E63" i="23"/>
  <c r="L63" i="23" s="1"/>
  <c r="B949" i="4"/>
  <c r="G1003" i="4"/>
  <c r="E1006" i="4" s="1"/>
  <c r="G982" i="4"/>
  <c r="G706" i="15"/>
  <c r="G676" i="15"/>
  <c r="G687" i="15" s="1"/>
  <c r="E697" i="15" s="1"/>
  <c r="H562" i="15" l="1"/>
  <c r="F562" i="15"/>
  <c r="E363" i="4"/>
  <c r="E662" i="4"/>
  <c r="E632" i="15"/>
  <c r="J38" i="23"/>
  <c r="L38" i="23" s="1"/>
  <c r="F568" i="4"/>
  <c r="H568" i="4"/>
  <c r="G466" i="4"/>
  <c r="E482" i="4" s="1"/>
  <c r="D450" i="4"/>
  <c r="E459" i="4"/>
  <c r="H363" i="4"/>
  <c r="F363" i="4"/>
  <c r="D19" i="23"/>
  <c r="F19" i="23" s="1"/>
  <c r="E610" i="4"/>
  <c r="D601" i="4"/>
  <c r="G616" i="4"/>
  <c r="E628" i="4" s="1"/>
  <c r="C528" i="4"/>
  <c r="D39" i="23"/>
  <c r="F39" i="23" s="1"/>
  <c r="D34" i="23"/>
  <c r="F34" i="23" s="1"/>
  <c r="F662" i="4"/>
  <c r="H662" i="4"/>
  <c r="D757" i="4"/>
  <c r="G764" i="4"/>
  <c r="E776" i="4" s="1"/>
  <c r="E754" i="4"/>
  <c r="C678" i="4"/>
  <c r="D35" i="23"/>
  <c r="F35" i="23" s="1"/>
  <c r="D687" i="4"/>
  <c r="F687" i="4"/>
  <c r="J34" i="23"/>
  <c r="L34" i="23" s="1"/>
  <c r="H720" i="4"/>
  <c r="F720" i="4"/>
  <c r="H504" i="15"/>
  <c r="F504" i="15"/>
  <c r="D592" i="15"/>
  <c r="E601" i="15"/>
  <c r="G371" i="4"/>
  <c r="C519" i="15"/>
  <c r="C531" i="15"/>
  <c r="G382" i="4"/>
  <c r="C389" i="4" s="1"/>
  <c r="J20" i="23"/>
  <c r="L20" i="23" s="1"/>
  <c r="E435" i="4"/>
  <c r="H577" i="15"/>
  <c r="F577" i="15"/>
  <c r="D664" i="15"/>
  <c r="F664" i="15"/>
  <c r="D650" i="15"/>
  <c r="F650" i="15"/>
  <c r="E739" i="15"/>
  <c r="D730" i="15"/>
  <c r="H632" i="15"/>
  <c r="F632" i="15"/>
  <c r="E860" i="15"/>
  <c r="D863" i="15"/>
  <c r="D796" i="15"/>
  <c r="F796" i="15"/>
  <c r="F826" i="15"/>
  <c r="H826" i="15"/>
  <c r="D787" i="15"/>
  <c r="F787" i="15"/>
  <c r="D841" i="15"/>
  <c r="F841" i="15"/>
  <c r="J35" i="23"/>
  <c r="L35" i="23" s="1"/>
  <c r="C735" i="4"/>
  <c r="F949" i="4"/>
  <c r="C949" i="4"/>
  <c r="E75" i="23"/>
  <c r="L75" i="23" s="1"/>
  <c r="E986" i="4"/>
  <c r="G577" i="4"/>
  <c r="C713" i="15"/>
  <c r="H697" i="15"/>
  <c r="F697" i="15"/>
  <c r="E513" i="4"/>
  <c r="E771" i="15"/>
  <c r="H482" i="4" l="1"/>
  <c r="F482" i="4"/>
  <c r="D25" i="23"/>
  <c r="F25" i="23" s="1"/>
  <c r="H459" i="4"/>
  <c r="F459" i="4"/>
  <c r="F610" i="4"/>
  <c r="H610" i="4"/>
  <c r="D47" i="23"/>
  <c r="F47" i="23" s="1"/>
  <c r="F628" i="4"/>
  <c r="H628" i="4"/>
  <c r="F528" i="4"/>
  <c r="D528" i="4"/>
  <c r="F776" i="4"/>
  <c r="H776" i="4"/>
  <c r="F754" i="4"/>
  <c r="D44" i="23"/>
  <c r="F44" i="23" s="1"/>
  <c r="H754" i="4"/>
  <c r="F678" i="4"/>
  <c r="D678" i="4"/>
  <c r="F601" i="15"/>
  <c r="H601" i="15"/>
  <c r="D20" i="23"/>
  <c r="F20" i="23" s="1"/>
  <c r="C377" i="4"/>
  <c r="I519" i="15"/>
  <c r="F519" i="15"/>
  <c r="D519" i="15"/>
  <c r="F531" i="15"/>
  <c r="I531" i="15"/>
  <c r="D531" i="15"/>
  <c r="D389" i="4"/>
  <c r="F389" i="4"/>
  <c r="F435" i="4"/>
  <c r="H435" i="4"/>
  <c r="F739" i="15"/>
  <c r="H739" i="15"/>
  <c r="F860" i="15"/>
  <c r="H860" i="15"/>
  <c r="D735" i="4"/>
  <c r="F735" i="4"/>
  <c r="J39" i="23"/>
  <c r="L39" i="23" s="1"/>
  <c r="C584" i="4"/>
  <c r="D713" i="15"/>
  <c r="F713" i="15"/>
  <c r="F513" i="4"/>
  <c r="H513" i="4"/>
  <c r="D38" i="23"/>
  <c r="F38" i="23" s="1"/>
  <c r="F771" i="15"/>
  <c r="H771" i="15"/>
  <c r="F377" i="4" l="1"/>
  <c r="D377" i="4"/>
  <c r="F584" i="4"/>
  <c r="D584" i="4"/>
  <c r="H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tc={C743A8A0-71DC-4852-8A99-995DBCF7E9E5}</author>
  </authors>
  <commentList>
    <comment ref="C150" authorId="0" shapeId="0" xr:uid="{C743A8A0-71DC-4852-8A99-995DBCF7E9E5}">
      <text>
        <t>[Threaded comment]
Your version of Excel allows you to read this threaded comment; however, any edits to it will get removed if the file is opened in a newer version of Excel. Learn more: https://go.microsoft.com/fwlink/?linkid=870924
Comment:
    È stata utilizzata una media dei valori tra kdef clt e kdef glulam/massiccio in accordo a storaenso:
 kdef=(kdef_clt x kdef_wood)^0.5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tc={281A4FA9-D5B6-47E1-BC15-771246F035E2}</author>
  </authors>
  <commentList>
    <comment ref="B217" authorId="0" shapeId="0" xr:uid="{281A4FA9-D5B6-47E1-BC15-771246F035E2}">
      <text>
        <t>[Threaded comment]
Your version of Excel allows you to read this threaded comment; however, any edits to it will get removed if the file is opened in a newer version of Excel. Learn more: https://go.microsoft.com/fwlink/?linkid=870924
Comment:
    È stata utilizzata una media dei valori tra kdef clt e kdef glulam/massiccio in accordo a storaenso:
 kdef=(kdef_clt x kdef_wood)^0.5</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<sst xmlns="http://schemas.openxmlformats.org/spreadsheetml/2006/main" count="2450" uniqueCount="1090">
  <si>
    <t>[mm]</t>
  </si>
  <si>
    <t>b</t>
  </si>
  <si>
    <t>Modo 2</t>
  </si>
  <si>
    <t>Modo 3</t>
  </si>
  <si>
    <t>N</t>
  </si>
  <si>
    <r>
      <t>CARICHI AGENTI SULLA SUPERFICIE SOLAIO (kN/m</t>
    </r>
    <r>
      <rPr>
        <b/>
        <vertAlign val="superscript"/>
        <sz val="12"/>
        <rFont val="Arial"/>
        <family val="2"/>
      </rPr>
      <t>2</t>
    </r>
    <r>
      <rPr>
        <b/>
        <sz val="12"/>
        <rFont val="Arial"/>
        <family val="2"/>
      </rPr>
      <t>)</t>
    </r>
  </si>
  <si>
    <t xml:space="preserve">CARICHI PERMANENTI </t>
  </si>
  <si>
    <t>=</t>
  </si>
  <si>
    <r>
      <t>kN/m</t>
    </r>
    <r>
      <rPr>
        <vertAlign val="superscript"/>
        <sz val="10"/>
        <rFont val="Arial"/>
        <family val="2"/>
      </rPr>
      <t>2</t>
    </r>
  </si>
  <si>
    <t xml:space="preserve">CARICHI ACCIDENTALI   </t>
  </si>
  <si>
    <r>
      <t>Q</t>
    </r>
    <r>
      <rPr>
        <i/>
        <vertAlign val="subscript"/>
        <sz val="12"/>
        <rFont val="Times New Roman"/>
        <family val="1"/>
      </rPr>
      <t>k</t>
    </r>
  </si>
  <si>
    <r>
      <t>Ψ</t>
    </r>
    <r>
      <rPr>
        <i/>
        <vertAlign val="subscript"/>
        <sz val="12"/>
        <rFont val="Times New Roman"/>
        <family val="1"/>
      </rPr>
      <t>2,i</t>
    </r>
  </si>
  <si>
    <t>Durata del carico</t>
  </si>
  <si>
    <t>Classe di servizio</t>
  </si>
  <si>
    <t>CARICHI AGENTI SU TRAVE COMPOSTA (kN/m)</t>
  </si>
  <si>
    <t>Interasse travetti/larghezza d'influenza</t>
  </si>
  <si>
    <t>i</t>
  </si>
  <si>
    <t>m</t>
  </si>
  <si>
    <r>
      <t>g</t>
    </r>
    <r>
      <rPr>
        <i/>
        <vertAlign val="subscript"/>
        <sz val="12"/>
        <rFont val="Times New Roman"/>
        <family val="1"/>
      </rPr>
      <t>1k</t>
    </r>
    <r>
      <rPr>
        <i/>
        <sz val="12"/>
        <rFont val="Times New Roman"/>
        <family val="1"/>
      </rPr>
      <t>+g</t>
    </r>
    <r>
      <rPr>
        <i/>
        <vertAlign val="subscript"/>
        <sz val="12"/>
        <rFont val="Times New Roman"/>
        <family val="1"/>
      </rPr>
      <t>2k</t>
    </r>
  </si>
  <si>
    <t>tipo legno</t>
  </si>
  <si>
    <t xml:space="preserve">CARICHI ACCIDENTALI </t>
  </si>
  <si>
    <r>
      <t>q</t>
    </r>
    <r>
      <rPr>
        <i/>
        <vertAlign val="subscript"/>
        <sz val="12"/>
        <rFont val="Times New Roman"/>
        <family val="1"/>
      </rPr>
      <t>k</t>
    </r>
  </si>
  <si>
    <t>Classe</t>
  </si>
  <si>
    <t>perm. durata</t>
  </si>
  <si>
    <t>Durata</t>
  </si>
  <si>
    <t>MATERIALE LEGNO ELEMENTO 1</t>
  </si>
  <si>
    <t>Tipo Legno</t>
  </si>
  <si>
    <t>Caratteristiche meccaniche</t>
  </si>
  <si>
    <t>Caratteristiche (MPa)</t>
  </si>
  <si>
    <t>flessione</t>
  </si>
  <si>
    <r>
      <t>f</t>
    </r>
    <r>
      <rPr>
        <i/>
        <vertAlign val="subscript"/>
        <sz val="12"/>
        <rFont val="Times New Roman"/>
        <family val="1"/>
      </rPr>
      <t>m,k</t>
    </r>
  </si>
  <si>
    <t>[G+Q]</t>
  </si>
  <si>
    <t>[G]</t>
  </si>
  <si>
    <t>trazione parallela</t>
  </si>
  <si>
    <r>
      <t>f</t>
    </r>
    <r>
      <rPr>
        <i/>
        <vertAlign val="subscript"/>
        <sz val="12"/>
        <rFont val="Times New Roman"/>
        <family val="1"/>
      </rPr>
      <t>t,0,k</t>
    </r>
  </si>
  <si>
    <r>
      <t>f</t>
    </r>
    <r>
      <rPr>
        <i/>
        <vertAlign val="subscript"/>
        <sz val="12"/>
        <rFont val="Times New Roman"/>
        <family val="1"/>
      </rPr>
      <t>m,d</t>
    </r>
  </si>
  <si>
    <t>trazione perpendic</t>
  </si>
  <si>
    <r>
      <t>f</t>
    </r>
    <r>
      <rPr>
        <i/>
        <vertAlign val="subscript"/>
        <sz val="12"/>
        <rFont val="Times New Roman"/>
        <family val="1"/>
      </rPr>
      <t>t,90,k</t>
    </r>
  </si>
  <si>
    <r>
      <t>f</t>
    </r>
    <r>
      <rPr>
        <i/>
        <vertAlign val="subscript"/>
        <sz val="12"/>
        <rFont val="Times New Roman"/>
        <family val="1"/>
      </rPr>
      <t>t,0,,d</t>
    </r>
  </si>
  <si>
    <t>compress parall</t>
  </si>
  <si>
    <r>
      <t>f</t>
    </r>
    <r>
      <rPr>
        <i/>
        <vertAlign val="subscript"/>
        <sz val="12"/>
        <rFont val="Times New Roman"/>
        <family val="1"/>
      </rPr>
      <t>c,0,k</t>
    </r>
  </si>
  <si>
    <r>
      <t>f</t>
    </r>
    <r>
      <rPr>
        <i/>
        <vertAlign val="subscript"/>
        <sz val="12"/>
        <rFont val="Times New Roman"/>
        <family val="1"/>
      </rPr>
      <t>t,90,d</t>
    </r>
  </si>
  <si>
    <t>compres perpe</t>
  </si>
  <si>
    <r>
      <t>f</t>
    </r>
    <r>
      <rPr>
        <i/>
        <vertAlign val="subscript"/>
        <sz val="12"/>
        <rFont val="Times New Roman"/>
        <family val="1"/>
      </rPr>
      <t>c,90,k</t>
    </r>
  </si>
  <si>
    <r>
      <t>f</t>
    </r>
    <r>
      <rPr>
        <i/>
        <vertAlign val="subscript"/>
        <sz val="12"/>
        <rFont val="Times New Roman"/>
        <family val="1"/>
      </rPr>
      <t>c,0,d</t>
    </r>
  </si>
  <si>
    <t>taglio</t>
  </si>
  <si>
    <r>
      <t>f</t>
    </r>
    <r>
      <rPr>
        <i/>
        <vertAlign val="subscript"/>
        <sz val="12"/>
        <rFont val="Times New Roman"/>
        <family val="1"/>
      </rPr>
      <t>v,k</t>
    </r>
  </si>
  <si>
    <r>
      <t>f</t>
    </r>
    <r>
      <rPr>
        <i/>
        <vertAlign val="subscript"/>
        <sz val="12"/>
        <rFont val="Times New Roman"/>
        <family val="1"/>
      </rPr>
      <t>c,90,d</t>
    </r>
  </si>
  <si>
    <r>
      <t>f</t>
    </r>
    <r>
      <rPr>
        <i/>
        <vertAlign val="subscript"/>
        <sz val="12"/>
        <rFont val="Times New Roman"/>
        <family val="1"/>
      </rPr>
      <t>v,d</t>
    </r>
  </si>
  <si>
    <t>medio parallelo</t>
  </si>
  <si>
    <r>
      <t>E</t>
    </r>
    <r>
      <rPr>
        <i/>
        <vertAlign val="subscript"/>
        <sz val="12"/>
        <rFont val="Times New Roman"/>
        <family val="1"/>
      </rPr>
      <t>0,mean</t>
    </r>
  </si>
  <si>
    <t>caratt parallelo</t>
  </si>
  <si>
    <r>
      <t>E</t>
    </r>
    <r>
      <rPr>
        <i/>
        <vertAlign val="subscript"/>
        <sz val="12"/>
        <rFont val="Times New Roman"/>
        <family val="1"/>
      </rPr>
      <t>0,05</t>
    </r>
  </si>
  <si>
    <r>
      <t>k</t>
    </r>
    <r>
      <rPr>
        <i/>
        <vertAlign val="subscript"/>
        <sz val="12"/>
        <rFont val="Times New Roman"/>
        <family val="1"/>
      </rPr>
      <t>mod [G+Q]</t>
    </r>
  </si>
  <si>
    <t>mod taglio medio</t>
  </si>
  <si>
    <r>
      <t xml:space="preserve"> k</t>
    </r>
    <r>
      <rPr>
        <i/>
        <vertAlign val="subscript"/>
        <sz val="12"/>
        <rFont val="Times New Roman"/>
        <family val="1"/>
      </rPr>
      <t>mod [G]</t>
    </r>
  </si>
  <si>
    <t>mod taglio caratt</t>
  </si>
  <si>
    <r>
      <t>Massa volumica (kg/m</t>
    </r>
    <r>
      <rPr>
        <b/>
        <vertAlign val="superscript"/>
        <sz val="10"/>
        <rFont val="Arial"/>
        <family val="2"/>
      </rPr>
      <t>3</t>
    </r>
    <r>
      <rPr>
        <b/>
        <sz val="10"/>
        <rFont val="Arial"/>
        <family val="2"/>
      </rPr>
      <t>)</t>
    </r>
  </si>
  <si>
    <t>caratteristica</t>
  </si>
  <si>
    <r>
      <rPr>
        <i/>
        <sz val="12"/>
        <rFont val="Calibri"/>
        <family val="2"/>
      </rPr>
      <t>ρ</t>
    </r>
    <r>
      <rPr>
        <i/>
        <vertAlign val="subscript"/>
        <sz val="12"/>
        <rFont val="Times New Roman"/>
        <family val="1"/>
      </rPr>
      <t>k</t>
    </r>
  </si>
  <si>
    <t>MATERIALE LEGNO ELEMENTO 2</t>
  </si>
  <si>
    <t>Progetto (MPa)</t>
  </si>
  <si>
    <t xml:space="preserve">GEOMETRIA </t>
  </si>
  <si>
    <t>Altezza elemento 1</t>
  </si>
  <si>
    <r>
      <t>h</t>
    </r>
    <r>
      <rPr>
        <i/>
        <vertAlign val="subscript"/>
        <sz val="12"/>
        <rFont val="Times New Roman"/>
        <family val="1"/>
      </rPr>
      <t>1</t>
    </r>
  </si>
  <si>
    <t>mm</t>
  </si>
  <si>
    <t>Base elemento 1</t>
  </si>
  <si>
    <r>
      <t>b</t>
    </r>
    <r>
      <rPr>
        <i/>
        <vertAlign val="subscript"/>
        <sz val="12"/>
        <rFont val="Times New Roman"/>
        <family val="1"/>
      </rPr>
      <t>1</t>
    </r>
  </si>
  <si>
    <r>
      <t>h</t>
    </r>
    <r>
      <rPr>
        <i/>
        <vertAlign val="subscript"/>
        <sz val="12"/>
        <rFont val="Times New Roman"/>
        <family val="1"/>
      </rPr>
      <t>2</t>
    </r>
  </si>
  <si>
    <t>Base elemento 2</t>
  </si>
  <si>
    <r>
      <t>b</t>
    </r>
    <r>
      <rPr>
        <i/>
        <vertAlign val="subscript"/>
        <sz val="12"/>
        <rFont val="Times New Roman"/>
        <family val="1"/>
      </rPr>
      <t>2</t>
    </r>
  </si>
  <si>
    <t>Altezza tavolato esistente</t>
  </si>
  <si>
    <t>t</t>
  </si>
  <si>
    <t>Luce solaio</t>
  </si>
  <si>
    <t>L</t>
  </si>
  <si>
    <t xml:space="preserve"> SISTEMA DI CONNESSIONE</t>
  </si>
  <si>
    <r>
      <t>s</t>
    </r>
    <r>
      <rPr>
        <i/>
        <vertAlign val="subscript"/>
        <sz val="12"/>
        <rFont val="Times New Roman"/>
        <family val="1"/>
      </rPr>
      <t>eq</t>
    </r>
  </si>
  <si>
    <t>Rigidezza connessione</t>
  </si>
  <si>
    <t>N/mm</t>
  </si>
  <si>
    <t>Per lo stato limite di esercizio</t>
  </si>
  <si>
    <r>
      <t>K</t>
    </r>
    <r>
      <rPr>
        <i/>
        <vertAlign val="subscript"/>
        <sz val="12"/>
        <rFont val="Times New Roman"/>
        <family val="1"/>
      </rPr>
      <t>ser</t>
    </r>
  </si>
  <si>
    <t>Per lo stato limite ultimo</t>
  </si>
  <si>
    <r>
      <t>K</t>
    </r>
    <r>
      <rPr>
        <i/>
        <vertAlign val="subscript"/>
        <sz val="12"/>
        <rFont val="Times New Roman"/>
        <family val="1"/>
      </rPr>
      <t>u</t>
    </r>
  </si>
  <si>
    <t xml:space="preserve">COEFFICIENTI </t>
  </si>
  <si>
    <r>
      <t>k</t>
    </r>
    <r>
      <rPr>
        <i/>
        <vertAlign val="subscript"/>
        <sz val="12"/>
        <rFont val="Times New Roman"/>
        <family val="1"/>
      </rPr>
      <t>def</t>
    </r>
  </si>
  <si>
    <r>
      <t>k</t>
    </r>
    <r>
      <rPr>
        <i/>
        <vertAlign val="subscript"/>
        <sz val="12"/>
        <rFont val="Times New Roman"/>
        <family val="1"/>
      </rPr>
      <t>h, el 1</t>
    </r>
  </si>
  <si>
    <r>
      <t>k</t>
    </r>
    <r>
      <rPr>
        <i/>
        <vertAlign val="subscript"/>
        <sz val="12"/>
        <rFont val="Times New Roman"/>
        <family val="1"/>
      </rPr>
      <t>h, el 2</t>
    </r>
  </si>
  <si>
    <r>
      <t>γ</t>
    </r>
    <r>
      <rPr>
        <i/>
        <vertAlign val="subscript"/>
        <sz val="12"/>
        <rFont val="Times New Roman"/>
        <family val="1"/>
      </rPr>
      <t>m SLU,con</t>
    </r>
  </si>
  <si>
    <t>unioni</t>
  </si>
  <si>
    <t>elemento 1</t>
  </si>
  <si>
    <t>elemento 2</t>
  </si>
  <si>
    <t>SOLLECITAZIONI</t>
  </si>
  <si>
    <t>Carico permanente</t>
  </si>
  <si>
    <r>
      <t>G</t>
    </r>
    <r>
      <rPr>
        <i/>
        <vertAlign val="subscript"/>
        <sz val="12"/>
        <rFont val="Times New Roman"/>
        <family val="1"/>
      </rPr>
      <t>k</t>
    </r>
  </si>
  <si>
    <t>Sovraccarico</t>
  </si>
  <si>
    <r>
      <t>Q</t>
    </r>
    <r>
      <rPr>
        <i/>
        <vertAlign val="subscript"/>
        <sz val="12"/>
        <rFont val="Times New Roman"/>
        <family val="1"/>
      </rPr>
      <t>k1</t>
    </r>
  </si>
  <si>
    <t>Carichi permanenti e accidentali [G+Q]</t>
  </si>
  <si>
    <t>kN/m</t>
  </si>
  <si>
    <t>Carichi permanenti [G]</t>
  </si>
  <si>
    <t>Sollecitazioni SLU [G+Q]</t>
  </si>
  <si>
    <t>kNm</t>
  </si>
  <si>
    <t>kN</t>
  </si>
  <si>
    <t>Sollecitazioni SLU [G]</t>
  </si>
  <si>
    <t xml:space="preserve">CALCOLO RIGIDEZZE t = 0 </t>
  </si>
  <si>
    <t>Rigidezza el. 1</t>
  </si>
  <si>
    <t>flessionale</t>
  </si>
  <si>
    <r>
      <t>E</t>
    </r>
    <r>
      <rPr>
        <i/>
        <vertAlign val="subscript"/>
        <sz val="12"/>
        <rFont val="Times New Roman"/>
        <family val="1"/>
      </rPr>
      <t>1</t>
    </r>
    <r>
      <rPr>
        <i/>
        <sz val="12"/>
        <rFont val="Times New Roman"/>
        <family val="1"/>
      </rPr>
      <t>J</t>
    </r>
    <r>
      <rPr>
        <i/>
        <vertAlign val="subscript"/>
        <sz val="12"/>
        <rFont val="Times New Roman"/>
        <family val="1"/>
      </rPr>
      <t>1</t>
    </r>
  </si>
  <si>
    <r>
      <t>Nmm</t>
    </r>
    <r>
      <rPr>
        <vertAlign val="superscript"/>
        <sz val="10"/>
        <rFont val="Arial"/>
        <family val="2"/>
      </rPr>
      <t>2</t>
    </r>
  </si>
  <si>
    <t>assiale</t>
  </si>
  <si>
    <r>
      <t>E</t>
    </r>
    <r>
      <rPr>
        <i/>
        <vertAlign val="subscript"/>
        <sz val="12"/>
        <rFont val="Times New Roman"/>
        <family val="1"/>
      </rPr>
      <t>1</t>
    </r>
    <r>
      <rPr>
        <i/>
        <sz val="12"/>
        <rFont val="Times New Roman"/>
        <family val="1"/>
      </rPr>
      <t>A</t>
    </r>
    <r>
      <rPr>
        <i/>
        <vertAlign val="subscript"/>
        <sz val="12"/>
        <rFont val="Times New Roman"/>
        <family val="1"/>
      </rPr>
      <t>1</t>
    </r>
  </si>
  <si>
    <t>Rigidezza el. 2</t>
  </si>
  <si>
    <r>
      <t>E</t>
    </r>
    <r>
      <rPr>
        <i/>
        <vertAlign val="subscript"/>
        <sz val="12"/>
        <rFont val="Times New Roman"/>
        <family val="1"/>
      </rPr>
      <t>2</t>
    </r>
    <r>
      <rPr>
        <i/>
        <sz val="12"/>
        <rFont val="Times New Roman"/>
        <family val="1"/>
      </rPr>
      <t>J</t>
    </r>
    <r>
      <rPr>
        <i/>
        <vertAlign val="subscript"/>
        <sz val="12"/>
        <rFont val="Times New Roman"/>
        <family val="1"/>
      </rPr>
      <t>2</t>
    </r>
  </si>
  <si>
    <r>
      <t>E</t>
    </r>
    <r>
      <rPr>
        <i/>
        <vertAlign val="subscript"/>
        <sz val="12"/>
        <rFont val="Times New Roman"/>
        <family val="1"/>
      </rPr>
      <t>2</t>
    </r>
    <r>
      <rPr>
        <i/>
        <sz val="12"/>
        <rFont val="Times New Roman"/>
        <family val="1"/>
      </rPr>
      <t>A</t>
    </r>
    <r>
      <rPr>
        <i/>
        <vertAlign val="subscript"/>
        <sz val="12"/>
        <rFont val="Times New Roman"/>
        <family val="1"/>
      </rPr>
      <t>2</t>
    </r>
  </si>
  <si>
    <t>Rigidezze sistema composto a t=0</t>
  </si>
  <si>
    <r>
      <t>(EJ</t>
    </r>
    <r>
      <rPr>
        <i/>
        <vertAlign val="subscript"/>
        <sz val="12"/>
        <rFont val="Times New Roman"/>
        <family val="1"/>
      </rPr>
      <t>0</t>
    </r>
    <r>
      <rPr>
        <i/>
        <sz val="12"/>
        <rFont val="Times New Roman"/>
        <family val="1"/>
      </rPr>
      <t>)</t>
    </r>
    <r>
      <rPr>
        <i/>
        <vertAlign val="subscript"/>
        <sz val="12"/>
        <rFont val="Times New Roman"/>
        <family val="1"/>
      </rPr>
      <t>t=0</t>
    </r>
  </si>
  <si>
    <r>
      <t>(EA</t>
    </r>
    <r>
      <rPr>
        <i/>
        <vertAlign val="subscript"/>
        <sz val="12"/>
        <rFont val="Times New Roman"/>
        <family val="1"/>
      </rPr>
      <t>0</t>
    </r>
    <r>
      <rPr>
        <i/>
        <sz val="12"/>
        <rFont val="Times New Roman"/>
        <family val="1"/>
      </rPr>
      <t>)</t>
    </r>
    <r>
      <rPr>
        <i/>
        <vertAlign val="subscript"/>
        <sz val="12"/>
        <rFont val="Times New Roman"/>
        <family val="1"/>
      </rPr>
      <t>t=0</t>
    </r>
  </si>
  <si>
    <t>Distanza fra baricentro elemento1  ed elemento 2</t>
  </si>
  <si>
    <r>
      <t xml:space="preserve">Rigidezze sistema composto t = </t>
    </r>
    <r>
      <rPr>
        <b/>
        <sz val="10"/>
        <rFont val="Arial"/>
        <family val="2"/>
      </rPr>
      <t>∞</t>
    </r>
  </si>
  <si>
    <t>Rigidezze efficace sistema composto</t>
  </si>
  <si>
    <t>Parametri</t>
  </si>
  <si>
    <t>Nmm^2</t>
  </si>
  <si>
    <t>Efficienza sistema composto</t>
  </si>
  <si>
    <t>CALCOLO RIGIDEZZE  t = ∞ [G]</t>
  </si>
  <si>
    <t>Rigidezza a t = ∞ elemento 1</t>
  </si>
  <si>
    <r>
      <rPr>
        <i/>
        <sz val="12"/>
        <rFont val="Times New Roman"/>
        <family val="1"/>
      </rPr>
      <t>Ψ</t>
    </r>
    <r>
      <rPr>
        <i/>
        <vertAlign val="subscript"/>
        <sz val="12"/>
        <rFont val="Times New Roman"/>
        <family val="1"/>
      </rPr>
      <t xml:space="preserve">2,i </t>
    </r>
    <r>
      <rPr>
        <sz val="10"/>
        <rFont val="Arial"/>
        <family val="2"/>
      </rPr>
      <t xml:space="preserve">(per la valutazione della rigidezza a </t>
    </r>
    <r>
      <rPr>
        <i/>
        <sz val="11"/>
        <rFont val="Times New Roman"/>
        <family val="1"/>
      </rPr>
      <t>t = ∞</t>
    </r>
    <r>
      <rPr>
        <sz val="10"/>
        <rFont val="Arial"/>
        <family val="2"/>
      </rPr>
      <t>)</t>
    </r>
  </si>
  <si>
    <t>Rigidezza a t = ∞ dell'elemento 2</t>
  </si>
  <si>
    <t>Rigidezza a t = ∞ della connessione</t>
  </si>
  <si>
    <t>CALCOLO RIGIDEZZE SISTEMA</t>
  </si>
  <si>
    <t>Rigidezza elemento 1:</t>
  </si>
  <si>
    <t>Rigidezza elemento 2:</t>
  </si>
  <si>
    <r>
      <t>(EJ</t>
    </r>
    <r>
      <rPr>
        <i/>
        <vertAlign val="subscript"/>
        <sz val="12"/>
        <rFont val="Times New Roman"/>
        <family val="1"/>
      </rPr>
      <t>0</t>
    </r>
    <r>
      <rPr>
        <i/>
        <sz val="12"/>
        <rFont val="Times New Roman"/>
        <family val="1"/>
      </rPr>
      <t>)</t>
    </r>
    <r>
      <rPr>
        <i/>
        <vertAlign val="subscript"/>
        <sz val="12"/>
        <rFont val="Times New Roman"/>
        <family val="1"/>
      </rPr>
      <t>t=∞</t>
    </r>
  </si>
  <si>
    <r>
      <t>(EA</t>
    </r>
    <r>
      <rPr>
        <i/>
        <vertAlign val="subscript"/>
        <sz val="12"/>
        <rFont val="Times New Roman"/>
        <family val="1"/>
      </rPr>
      <t>0</t>
    </r>
    <r>
      <rPr>
        <i/>
        <sz val="12"/>
        <rFont val="Times New Roman"/>
        <family val="1"/>
      </rPr>
      <t>)</t>
    </r>
    <r>
      <rPr>
        <i/>
        <vertAlign val="subscript"/>
        <sz val="12"/>
        <rFont val="Times New Roman"/>
        <family val="1"/>
      </rPr>
      <t>t=∞</t>
    </r>
  </si>
  <si>
    <t>Distanza fra baricentro trave e baricentro soletta:</t>
  </si>
  <si>
    <t>a</t>
  </si>
  <si>
    <r>
      <t>γ</t>
    </r>
    <r>
      <rPr>
        <i/>
        <vertAlign val="subscript"/>
        <sz val="12"/>
        <rFont val="Times New Roman"/>
        <family val="1"/>
      </rPr>
      <t>1</t>
    </r>
  </si>
  <si>
    <r>
      <t>(EJ</t>
    </r>
    <r>
      <rPr>
        <i/>
        <vertAlign val="subscript"/>
        <sz val="12"/>
        <rFont val="Times New Roman"/>
        <family val="1"/>
      </rPr>
      <t>eff</t>
    </r>
    <r>
      <rPr>
        <i/>
        <sz val="12"/>
        <rFont val="Times New Roman"/>
        <family val="1"/>
      </rPr>
      <t>)</t>
    </r>
    <r>
      <rPr>
        <i/>
        <vertAlign val="subscript"/>
        <sz val="12"/>
        <rFont val="Times New Roman"/>
        <family val="1"/>
      </rPr>
      <t>t=∞</t>
    </r>
  </si>
  <si>
    <t>VERIFICHE SLU  t = 0 (G+Q)</t>
  </si>
  <si>
    <t>ELEMENTO 1</t>
  </si>
  <si>
    <t>Sforzo normale agente sull'elemento 1</t>
  </si>
  <si>
    <t>Momento agente sull'elemento 1</t>
  </si>
  <si>
    <t>Tensioni massime da sforzo normale e momento</t>
  </si>
  <si>
    <t>MPa</t>
  </si>
  <si>
    <t>VERIFICA TENSIONALE</t>
  </si>
  <si>
    <t>Verifica presso flessione</t>
  </si>
  <si>
    <t>Verifica sforzi di taglio</t>
  </si>
  <si>
    <t>ELEMENTO 2</t>
  </si>
  <si>
    <t>Sforzo normale agente sull'elemento 2</t>
  </si>
  <si>
    <t>Momento agente sull'elemento 2</t>
  </si>
  <si>
    <t>Verifica tensoflessione</t>
  </si>
  <si>
    <t>CONNESSIONE</t>
  </si>
  <si>
    <t>Forza agente sulla connessione</t>
  </si>
  <si>
    <t>Valore di progetto della connessione</t>
  </si>
  <si>
    <t>VERIFICA DELLA CONNESSIONE</t>
  </si>
  <si>
    <t>Nmm</t>
  </si>
  <si>
    <t>Verifica pressoflessione</t>
  </si>
  <si>
    <t>KNm</t>
  </si>
  <si>
    <t>CALCOLO RIGIDEZZE SLE  t = 0</t>
  </si>
  <si>
    <t>Rigidezza elemento 1</t>
  </si>
  <si>
    <t>flessionale:</t>
  </si>
  <si>
    <t>assiale:</t>
  </si>
  <si>
    <t>Rigidezza elemento 2</t>
  </si>
  <si>
    <r>
      <t>Rigidezze sistema composto t=</t>
    </r>
    <r>
      <rPr>
        <b/>
        <sz val="10"/>
        <rFont val="Arial"/>
        <family val="2"/>
      </rPr>
      <t>∞</t>
    </r>
  </si>
  <si>
    <r>
      <t xml:space="preserve">CALCOLO RIGIDEZZE SLE  t = </t>
    </r>
    <r>
      <rPr>
        <b/>
        <sz val="14"/>
        <rFont val="Arial"/>
        <family val="2"/>
      </rPr>
      <t>∞</t>
    </r>
  </si>
  <si>
    <t>Modulo elastico t = ∞ dell'elemento 1</t>
  </si>
  <si>
    <t>Modulo elastico  t = ∞ dell'elemento  2</t>
  </si>
  <si>
    <t>Rigidezze globale a t=∞</t>
  </si>
  <si>
    <t>CALCOLO E VERIFICA FRECCIA</t>
  </si>
  <si>
    <t>Calcolo freccia a t = 0</t>
  </si>
  <si>
    <t>freccia per carichi permanenti</t>
  </si>
  <si>
    <t>freccia per carichi variabili</t>
  </si>
  <si>
    <t>freccia totale</t>
  </si>
  <si>
    <t>Verifica della freccia finale</t>
  </si>
  <si>
    <r>
      <t>f</t>
    </r>
    <r>
      <rPr>
        <vertAlign val="subscript"/>
        <sz val="10"/>
        <rFont val="Arial"/>
        <family val="2"/>
      </rPr>
      <t>m,k</t>
    </r>
  </si>
  <si>
    <r>
      <t>f</t>
    </r>
    <r>
      <rPr>
        <vertAlign val="subscript"/>
        <sz val="10"/>
        <rFont val="Arial"/>
        <family val="2"/>
      </rPr>
      <t>t,0,k</t>
    </r>
  </si>
  <si>
    <r>
      <t>f</t>
    </r>
    <r>
      <rPr>
        <vertAlign val="subscript"/>
        <sz val="10"/>
        <rFont val="Arial"/>
        <family val="2"/>
      </rPr>
      <t>t,90,k</t>
    </r>
  </si>
  <si>
    <r>
      <t>f</t>
    </r>
    <r>
      <rPr>
        <vertAlign val="subscript"/>
        <sz val="10"/>
        <rFont val="Arial"/>
        <family val="2"/>
      </rPr>
      <t>c,0,k</t>
    </r>
  </si>
  <si>
    <r>
      <t>f</t>
    </r>
    <r>
      <rPr>
        <vertAlign val="subscript"/>
        <sz val="10"/>
        <rFont val="Arial"/>
        <family val="2"/>
      </rPr>
      <t>c,90,k</t>
    </r>
  </si>
  <si>
    <r>
      <t>f</t>
    </r>
    <r>
      <rPr>
        <vertAlign val="subscript"/>
        <sz val="10"/>
        <rFont val="Arial"/>
        <family val="2"/>
      </rPr>
      <t>v,k</t>
    </r>
  </si>
  <si>
    <r>
      <t>E</t>
    </r>
    <r>
      <rPr>
        <vertAlign val="subscript"/>
        <sz val="10"/>
        <rFont val="Arial"/>
        <family val="2"/>
      </rPr>
      <t>0,mean</t>
    </r>
  </si>
  <si>
    <r>
      <t>G</t>
    </r>
    <r>
      <rPr>
        <vertAlign val="subscript"/>
        <sz val="10"/>
        <rFont val="Arial"/>
        <family val="2"/>
      </rPr>
      <t>mean</t>
    </r>
  </si>
  <si>
    <r>
      <t>E</t>
    </r>
    <r>
      <rPr>
        <vertAlign val="subscript"/>
        <sz val="10"/>
        <rFont val="Arial"/>
        <family val="2"/>
      </rPr>
      <t>0,05</t>
    </r>
  </si>
  <si>
    <t>UNI - Castagno S</t>
  </si>
  <si>
    <t>UNI - Querce cad. S</t>
  </si>
  <si>
    <t>UNI - Pioppo Ontano S</t>
  </si>
  <si>
    <t>UNI - Altre latifoglie S</t>
  </si>
  <si>
    <t>UNI - Abete Nord S1</t>
  </si>
  <si>
    <t>UNI - Abete Nord S2</t>
  </si>
  <si>
    <t>UNI - Abete Nord S3</t>
  </si>
  <si>
    <t>UNI - Abete Centro-Sud S1</t>
  </si>
  <si>
    <t>UNI - Abete Centro-Sud S2</t>
  </si>
  <si>
    <t>UNI - Abete Centro-Sud S3</t>
  </si>
  <si>
    <t>UNI - Larice S1</t>
  </si>
  <si>
    <t>UNI - Larice S2</t>
  </si>
  <si>
    <t>UNI - Larice S3</t>
  </si>
  <si>
    <t>UNI - Douglasia S1</t>
  </si>
  <si>
    <t>UNI - Douglasia S2/3</t>
  </si>
  <si>
    <t>UNI - Altre conifere S1</t>
  </si>
  <si>
    <t>UNI - Altre conifere S2</t>
  </si>
  <si>
    <t>UNI - Altre conifere S3</t>
  </si>
  <si>
    <t>sovraccarico variabile (a tendina)</t>
  </si>
  <si>
    <t>valore kN/m2</t>
  </si>
  <si>
    <r>
      <t>y</t>
    </r>
    <r>
      <rPr>
        <vertAlign val="subscript"/>
        <sz val="10"/>
        <rFont val="Arial"/>
        <family val="2"/>
      </rPr>
      <t>2</t>
    </r>
    <r>
      <rPr>
        <sz val="10"/>
        <rFont val="Arial"/>
        <family val="2"/>
      </rPr>
      <t xml:space="preserve"> (compare nella finestra parametri)</t>
    </r>
  </si>
  <si>
    <t>A: ambienti ad uso residenziale</t>
  </si>
  <si>
    <t>B1: uffici non aperti al pubblico</t>
  </si>
  <si>
    <t>B2: uffici aperti al pubblico</t>
  </si>
  <si>
    <t>C1: ospedali, ristoranti, caffè, scuole</t>
  </si>
  <si>
    <t>C2: balconi, ballatoi, scale, cinema, teatri</t>
  </si>
  <si>
    <t>C3: musei, sale da ballo, stazioni</t>
  </si>
  <si>
    <t>D1: negozi</t>
  </si>
  <si>
    <t>D2: centri commerciali</t>
  </si>
  <si>
    <t>E1: Biblioteche, archivi, magazzini</t>
  </si>
  <si>
    <t>F: rimesse e parcheggi  (max 30 kN)</t>
  </si>
  <si>
    <t>H1: Coperture e sottotetti non accessibili</t>
  </si>
  <si>
    <t>Valori di kmod</t>
  </si>
  <si>
    <t>Istantaneo</t>
  </si>
  <si>
    <t>Valori di kdef</t>
  </si>
  <si>
    <t>Quasi Permanenti</t>
  </si>
  <si>
    <t>Classe di durata del carico accidentale</t>
  </si>
  <si>
    <t>Classe di durata</t>
  </si>
  <si>
    <t>Tipo pannello</t>
  </si>
  <si>
    <t>Compensato finlandese</t>
  </si>
  <si>
    <t>Compensato americano</t>
  </si>
  <si>
    <t>Compensato canadese</t>
  </si>
  <si>
    <t>Pannelli di particelle e OSB</t>
  </si>
  <si>
    <t>Tipo sezione cambrette</t>
  </si>
  <si>
    <t>Tonda</t>
  </si>
  <si>
    <t>Rettangolare</t>
  </si>
  <si>
    <t>Tipo vite</t>
  </si>
  <si>
    <t>Diametro gambo liscio uguale a diametro esterno parte filettata</t>
  </si>
  <si>
    <t>Diametro esterno parte filettata &gt; diametro gambo liscio</t>
  </si>
  <si>
    <r>
      <t>Valori di k</t>
    </r>
    <r>
      <rPr>
        <vertAlign val="subscript"/>
        <sz val="10"/>
        <rFont val="Arial"/>
        <family val="2"/>
      </rPr>
      <t>ef</t>
    </r>
    <r>
      <rPr>
        <sz val="10"/>
        <rFont val="Arial"/>
        <family val="2"/>
      </rPr>
      <t xml:space="preserve"> (chiodi)</t>
    </r>
  </si>
  <si>
    <t>no preforo</t>
  </si>
  <si>
    <t>si preforo</t>
  </si>
  <si>
    <r>
      <t>a</t>
    </r>
    <r>
      <rPr>
        <vertAlign val="subscript"/>
        <sz val="10"/>
        <rFont val="Arial"/>
        <family val="2"/>
      </rPr>
      <t>1</t>
    </r>
    <r>
      <rPr>
        <sz val="11"/>
        <color theme="1"/>
        <rFont val="Calibri"/>
        <family val="2"/>
      </rPr>
      <t xml:space="preserve"> &gt;=14d</t>
    </r>
  </si>
  <si>
    <r>
      <t>a</t>
    </r>
    <r>
      <rPr>
        <vertAlign val="subscript"/>
        <sz val="10"/>
        <rFont val="Arial"/>
        <family val="2"/>
      </rPr>
      <t>1</t>
    </r>
    <r>
      <rPr>
        <sz val="11"/>
        <color theme="1"/>
        <rFont val="Calibri"/>
        <family val="2"/>
      </rPr>
      <t xml:space="preserve"> = 10d</t>
    </r>
  </si>
  <si>
    <r>
      <t>a</t>
    </r>
    <r>
      <rPr>
        <vertAlign val="subscript"/>
        <sz val="10"/>
        <rFont val="Arial"/>
        <family val="2"/>
      </rPr>
      <t>1</t>
    </r>
    <r>
      <rPr>
        <sz val="11"/>
        <color theme="1"/>
        <rFont val="Calibri"/>
        <family val="2"/>
      </rPr>
      <t xml:space="preserve"> = 7d</t>
    </r>
  </si>
  <si>
    <r>
      <t>a</t>
    </r>
    <r>
      <rPr>
        <vertAlign val="subscript"/>
        <sz val="10"/>
        <rFont val="Arial"/>
        <family val="2"/>
      </rPr>
      <t>1</t>
    </r>
    <r>
      <rPr>
        <sz val="11"/>
        <color theme="1"/>
        <rFont val="Calibri"/>
        <family val="2"/>
      </rPr>
      <t xml:space="preserve"> = 4d</t>
    </r>
  </si>
  <si>
    <t>-</t>
  </si>
  <si>
    <r>
      <t>G</t>
    </r>
    <r>
      <rPr>
        <i/>
        <vertAlign val="subscript"/>
        <sz val="12"/>
        <rFont val="Times New Roman"/>
        <family val="1"/>
      </rPr>
      <t>1k</t>
    </r>
    <r>
      <rPr>
        <i/>
        <sz val="12"/>
        <rFont val="Times New Roman"/>
        <family val="1"/>
      </rPr>
      <t>+G</t>
    </r>
    <r>
      <rPr>
        <i/>
        <vertAlign val="subscript"/>
        <sz val="12"/>
        <rFont val="Times New Roman"/>
        <family val="1"/>
      </rPr>
      <t>2k</t>
    </r>
  </si>
  <si>
    <t>Taglio</t>
  </si>
  <si>
    <t>Rigidezze sistema composto a t =  ∞</t>
  </si>
  <si>
    <t>CALCOLO RIGIDEZZE  t = ∞ [G + Q]</t>
  </si>
  <si>
    <t>VERIFICHE SLU t = ∞ [G]</t>
  </si>
  <si>
    <t>VERIFICHE SLU t = ∞ [G + Q]</t>
  </si>
  <si>
    <r>
      <t>Rigidezze sistema composto t=</t>
    </r>
    <r>
      <rPr>
        <b/>
        <sz val="10"/>
        <rFont val="Arial"/>
        <family val="2"/>
      </rPr>
      <t>0</t>
    </r>
  </si>
  <si>
    <r>
      <t>(EJ</t>
    </r>
    <r>
      <rPr>
        <i/>
        <vertAlign val="subscript"/>
        <sz val="12"/>
        <rFont val="Times New Roman"/>
        <family val="1"/>
      </rPr>
      <t>eff</t>
    </r>
    <r>
      <rPr>
        <i/>
        <sz val="12"/>
        <rFont val="Times New Roman"/>
        <family val="1"/>
      </rPr>
      <t>)</t>
    </r>
    <r>
      <rPr>
        <i/>
        <vertAlign val="subscript"/>
        <sz val="12"/>
        <rFont val="Times New Roman"/>
        <family val="1"/>
      </rPr>
      <t>t=0</t>
    </r>
  </si>
  <si>
    <r>
      <t>(EJ</t>
    </r>
    <r>
      <rPr>
        <i/>
        <vertAlign val="subscript"/>
        <sz val="12"/>
        <rFont val="Times New Roman"/>
        <family val="1"/>
      </rPr>
      <t>0</t>
    </r>
    <r>
      <rPr>
        <i/>
        <sz val="12"/>
        <rFont val="Times New Roman"/>
        <family val="1"/>
      </rPr>
      <t>)</t>
    </r>
    <r>
      <rPr>
        <i/>
        <vertAlign val="subscript"/>
        <sz val="12"/>
        <rFont val="Times New Roman"/>
        <family val="1"/>
      </rPr>
      <t>t=</t>
    </r>
    <r>
      <rPr>
        <vertAlign val="subscript"/>
        <sz val="12"/>
        <rFont val="Times New Roman"/>
        <family val="1"/>
      </rPr>
      <t>∞</t>
    </r>
  </si>
  <si>
    <r>
      <t>(EJ</t>
    </r>
    <r>
      <rPr>
        <i/>
        <vertAlign val="subscript"/>
        <sz val="12"/>
        <rFont val="Times New Roman"/>
        <family val="1"/>
      </rPr>
      <t>eff</t>
    </r>
    <r>
      <rPr>
        <i/>
        <sz val="12"/>
        <rFont val="Times New Roman"/>
        <family val="1"/>
      </rPr>
      <t>)</t>
    </r>
    <r>
      <rPr>
        <i/>
        <vertAlign val="subscript"/>
        <sz val="12"/>
        <rFont val="Times New Roman"/>
        <family val="1"/>
      </rPr>
      <t>t=</t>
    </r>
    <r>
      <rPr>
        <vertAlign val="subscript"/>
        <sz val="12"/>
        <rFont val="Times New Roman"/>
        <family val="1"/>
      </rPr>
      <t>∞</t>
    </r>
  </si>
  <si>
    <t>Altezza elemento 2</t>
  </si>
  <si>
    <t>L/</t>
  </si>
  <si>
    <t>STRUTTURA COMPOSTA LEGNO-LEGNO</t>
  </si>
  <si>
    <t>Verifica della freccia istantanea per carichi variabili</t>
  </si>
  <si>
    <t>Comune di:</t>
  </si>
  <si>
    <t xml:space="preserve">Provincia di: </t>
  </si>
  <si>
    <t>Committente:</t>
  </si>
  <si>
    <t>Data:</t>
  </si>
  <si>
    <t>Progettista:</t>
  </si>
  <si>
    <t>Data</t>
  </si>
  <si>
    <t>Committente</t>
  </si>
  <si>
    <t>Progettista</t>
  </si>
  <si>
    <t xml:space="preserve">E' compito del progettista verificare la correttezza dei risultati forniti dal presente foglio di calcolo. </t>
  </si>
  <si>
    <t>VERIFICA A VIBRAZIONE</t>
  </si>
  <si>
    <t>Frequenza fondamentale</t>
  </si>
  <si>
    <t>Hz</t>
  </si>
  <si>
    <t>Verifica di freccia (1 kN)</t>
  </si>
  <si>
    <t>w</t>
  </si>
  <si>
    <t>Verifica risposta impulsiva</t>
  </si>
  <si>
    <t>freccia in mezzeria</t>
  </si>
  <si>
    <t>freccia limite</t>
  </si>
  <si>
    <t>numero di modi &lt; 40 Hz</t>
  </si>
  <si>
    <t>velocità a risposta impulsiva</t>
  </si>
  <si>
    <t>v</t>
  </si>
  <si>
    <t>m/s</t>
  </si>
  <si>
    <t>velocità limite</t>
  </si>
  <si>
    <t xml:space="preserve">smorzamento </t>
  </si>
  <si>
    <t>ξ</t>
  </si>
  <si>
    <t>%</t>
  </si>
  <si>
    <t>Verifica accelerazione</t>
  </si>
  <si>
    <t>accelerazione massima</t>
  </si>
  <si>
    <t>Normativa</t>
  </si>
  <si>
    <t>Normativa:</t>
  </si>
  <si>
    <t>Larghezza collaborante</t>
  </si>
  <si>
    <t>Massa per unità di area</t>
  </si>
  <si>
    <t>Rigidezza longitudinale a metro</t>
  </si>
  <si>
    <t>Smorzamento</t>
  </si>
  <si>
    <t>[%]</t>
  </si>
  <si>
    <t>Modulo elastico (MPa)</t>
  </si>
  <si>
    <t>GPa</t>
  </si>
  <si>
    <t>Rigidezza trasversale a metro</t>
  </si>
  <si>
    <t>Tipo legno secondo EN338:2016, UNIEN14080:2013</t>
  </si>
  <si>
    <t>NTC2018</t>
  </si>
  <si>
    <t>Modo 4</t>
  </si>
  <si>
    <t>Modo 5</t>
  </si>
  <si>
    <r>
      <t xml:space="preserve">Le verifiche sono effettuate in accordo con il D.M.  Infrastrutture  17/1/2008 e la </t>
    </r>
    <r>
      <rPr>
        <i/>
        <sz val="11"/>
        <color rgb="FFFF0000"/>
        <rFont val="Times New Roman"/>
        <family val="1"/>
      </rPr>
      <t>C.M. 2/2/2009</t>
    </r>
    <r>
      <rPr>
        <i/>
        <sz val="11"/>
        <rFont val="Times New Roman"/>
        <family val="1"/>
      </rPr>
      <t xml:space="preserve">  n. </t>
    </r>
    <r>
      <rPr>
        <i/>
        <sz val="11"/>
        <color rgb="FFFF0000"/>
        <rFont val="Times New Roman"/>
        <family val="1"/>
      </rPr>
      <t>617 del C.S.LL.P</t>
    </r>
    <r>
      <rPr>
        <i/>
        <sz val="11"/>
        <rFont val="Times New Roman"/>
        <family val="1"/>
      </rPr>
      <t>P, integrate ove necessario con la UNI-EN 1995-1-1/2014. Le proprietà dei materiali fanno riferimento alle seguenti normative: UNI-EN 338:2016, UNI-EN 14080:2013.</t>
    </r>
  </si>
  <si>
    <t xml:space="preserve">Per le caratteristiche dei connettori, si è fatto riferimento alle seguenti normative di prodotto:                                                                                                                             -  European Technical Approval ETA-11/0030                                                                      </t>
  </si>
  <si>
    <t>GL20h - UNI EN14080:2013</t>
  </si>
  <si>
    <t>GL22h - UNI EN14080:2013</t>
  </si>
  <si>
    <t>GL24h - UNI EN14080:2013</t>
  </si>
  <si>
    <t>GL26h - UNI EN14080:2013</t>
  </si>
  <si>
    <t>GL28h - UNI EN14080:2013</t>
  </si>
  <si>
    <t>GL30h - UNI EN14080:2013</t>
  </si>
  <si>
    <t>GL32h - UNI EN14080:2013</t>
  </si>
  <si>
    <t>GL20c - UNI EN14080:2013</t>
  </si>
  <si>
    <t>GL22c - UNI EN14080:2013</t>
  </si>
  <si>
    <t>GL24c - UNI EN14080:2013</t>
  </si>
  <si>
    <t>GL26c - UNI EN14080:2013</t>
  </si>
  <si>
    <t>GL28c - UNI EN14080:2013</t>
  </si>
  <si>
    <t>GL30c - UNI EN14080:2013</t>
  </si>
  <si>
    <t>GL32c - UNI EN14080:2013</t>
  </si>
  <si>
    <t>C18 - EN338:2016</t>
  </si>
  <si>
    <t>C20 - EN338:2016</t>
  </si>
  <si>
    <t>C22 - EN338:2016</t>
  </si>
  <si>
    <t>C24 - EN338:2016</t>
  </si>
  <si>
    <t>C27 - EN338:2016</t>
  </si>
  <si>
    <t>C30 - EN338:2016</t>
  </si>
  <si>
    <t>D24 - EN338:2016</t>
  </si>
  <si>
    <t>D30 - EN338:2016</t>
  </si>
  <si>
    <t>DISTANZE MINIME</t>
  </si>
  <si>
    <t>a1</t>
  </si>
  <si>
    <t>a2</t>
  </si>
  <si>
    <t xml:space="preserve"> modo 2 e 5</t>
  </si>
  <si>
    <t>a1cg</t>
  </si>
  <si>
    <t>ρ&lt;420 kg/m3</t>
  </si>
  <si>
    <t>ρ&gt;420 kg/m3</t>
  </si>
  <si>
    <t>modo 1 e 4</t>
  </si>
  <si>
    <t>a4c</t>
  </si>
  <si>
    <t>a cross</t>
  </si>
  <si>
    <t>a2cg</t>
  </si>
  <si>
    <t>Larghezza minima travetto</t>
  </si>
  <si>
    <t xml:space="preserve">Modo 1 </t>
  </si>
  <si>
    <t>Rev27/18</t>
  </si>
  <si>
    <t>Resistenza di progetto della connessione:</t>
  </si>
  <si>
    <t>b(mm)</t>
  </si>
  <si>
    <t>frs,k</t>
  </si>
  <si>
    <t>frs,d</t>
  </si>
  <si>
    <t>fvd</t>
  </si>
  <si>
    <t>CLT</t>
  </si>
  <si>
    <t>Prod</t>
  </si>
  <si>
    <t>h</t>
  </si>
  <si>
    <t>BINDER</t>
  </si>
  <si>
    <t>RUBNER</t>
  </si>
  <si>
    <t>KLH</t>
  </si>
  <si>
    <t>HASSLACHER</t>
  </si>
  <si>
    <t>7s</t>
  </si>
  <si>
    <t>STORA</t>
  </si>
  <si>
    <t>MM</t>
  </si>
  <si>
    <t>XLAM DOLOMITI</t>
  </si>
  <si>
    <t>9s</t>
  </si>
  <si>
    <t>PIVETEAU</t>
  </si>
  <si>
    <t>DO NOT TOUCH THESE. Change in DATA or in CLT PANEL</t>
  </si>
  <si>
    <t>Berechnung von Brettsperrholzelementen</t>
  </si>
  <si>
    <t>Se non c'è lamella, indicare d=0</t>
  </si>
  <si>
    <t>Biegesteifigkeiten</t>
  </si>
  <si>
    <r>
      <t>Drillsteifigkeit</t>
    </r>
    <r>
      <rPr>
        <b/>
        <vertAlign val="superscript"/>
        <sz val="11"/>
        <color theme="1"/>
        <rFont val="Calibri"/>
        <family val="2"/>
        <scheme val="minor"/>
      </rPr>
      <t>1)</t>
    </r>
  </si>
  <si>
    <t xml:space="preserve">Plattenschubsteifigkeit </t>
  </si>
  <si>
    <t>Dehnsteifigkeiten</t>
  </si>
  <si>
    <t xml:space="preserve">Scheibenschubsteifigkeit </t>
  </si>
  <si>
    <t>Lagen</t>
  </si>
  <si>
    <r>
      <t>d</t>
    </r>
    <r>
      <rPr>
        <b/>
        <vertAlign val="subscript"/>
        <sz val="11"/>
        <color theme="1"/>
        <rFont val="Calibri"/>
        <family val="2"/>
        <scheme val="minor"/>
      </rPr>
      <t>i</t>
    </r>
  </si>
  <si>
    <r>
      <t>E</t>
    </r>
    <r>
      <rPr>
        <b/>
        <vertAlign val="subscript"/>
        <sz val="11"/>
        <color rgb="FFFF0000"/>
        <rFont val="Calibri"/>
        <family val="2"/>
        <scheme val="minor"/>
      </rPr>
      <t>xx,i</t>
    </r>
  </si>
  <si>
    <r>
      <t>E</t>
    </r>
    <r>
      <rPr>
        <b/>
        <vertAlign val="subscript"/>
        <sz val="11"/>
        <color rgb="FFFF0000"/>
        <rFont val="Calibri"/>
        <family val="2"/>
        <scheme val="minor"/>
      </rPr>
      <t>yy,i</t>
    </r>
  </si>
  <si>
    <r>
      <t>G</t>
    </r>
    <r>
      <rPr>
        <b/>
        <vertAlign val="subscript"/>
        <sz val="11"/>
        <color theme="1"/>
        <rFont val="Calibri"/>
        <family val="2"/>
        <scheme val="minor"/>
      </rPr>
      <t>xz,i</t>
    </r>
  </si>
  <si>
    <r>
      <t>G</t>
    </r>
    <r>
      <rPr>
        <b/>
        <vertAlign val="subscript"/>
        <sz val="11"/>
        <color theme="1"/>
        <rFont val="Calibri"/>
        <family val="2"/>
        <scheme val="minor"/>
      </rPr>
      <t>yz,i</t>
    </r>
  </si>
  <si>
    <r>
      <t>G</t>
    </r>
    <r>
      <rPr>
        <b/>
        <vertAlign val="subscript"/>
        <sz val="11"/>
        <color theme="1"/>
        <rFont val="Calibri"/>
        <family val="2"/>
        <scheme val="minor"/>
      </rPr>
      <t>xy,i</t>
    </r>
    <r>
      <rPr>
        <b/>
        <sz val="11"/>
        <color theme="1"/>
        <rFont val="Calibri"/>
        <family val="2"/>
        <scheme val="minor"/>
      </rPr>
      <t>=G</t>
    </r>
    <r>
      <rPr>
        <b/>
        <vertAlign val="subscript"/>
        <sz val="11"/>
        <color theme="1"/>
        <rFont val="Calibri"/>
        <family val="2"/>
        <scheme val="minor"/>
      </rPr>
      <t>yx,i</t>
    </r>
  </si>
  <si>
    <r>
      <t>z</t>
    </r>
    <r>
      <rPr>
        <b/>
        <vertAlign val="subscript"/>
        <sz val="11"/>
        <color theme="1"/>
        <rFont val="Calibri"/>
        <family val="2"/>
        <scheme val="minor"/>
      </rPr>
      <t>i</t>
    </r>
  </si>
  <si>
    <r>
      <t>[MNm²/m] ∙10</t>
    </r>
    <r>
      <rPr>
        <b/>
        <vertAlign val="superscript"/>
        <sz val="11"/>
        <color theme="1"/>
        <rFont val="Calibri"/>
        <family val="2"/>
        <scheme val="minor"/>
      </rPr>
      <t>-3</t>
    </r>
  </si>
  <si>
    <r>
      <t>[MN/m] ∙10</t>
    </r>
    <r>
      <rPr>
        <b/>
        <vertAlign val="superscript"/>
        <sz val="11"/>
        <color theme="1"/>
        <rFont val="Calibri"/>
        <family val="2"/>
        <scheme val="minor"/>
      </rPr>
      <t>-3</t>
    </r>
  </si>
  <si>
    <t>[MN/m]</t>
  </si>
  <si>
    <t>[MN/m²]</t>
  </si>
  <si>
    <r>
      <t>B</t>
    </r>
    <r>
      <rPr>
        <b/>
        <vertAlign val="subscript"/>
        <sz val="11"/>
        <color theme="1"/>
        <rFont val="Calibri"/>
        <family val="2"/>
        <scheme val="minor"/>
      </rPr>
      <t xml:space="preserve">x,i </t>
    </r>
    <r>
      <rPr>
        <b/>
        <sz val="11"/>
        <color theme="1"/>
        <rFont val="Calibri"/>
        <family val="2"/>
      </rPr>
      <t/>
    </r>
  </si>
  <si>
    <r>
      <t>B</t>
    </r>
    <r>
      <rPr>
        <b/>
        <vertAlign val="subscript"/>
        <sz val="11"/>
        <color theme="1"/>
        <rFont val="Calibri"/>
        <family val="2"/>
        <scheme val="minor"/>
      </rPr>
      <t>y,i</t>
    </r>
  </si>
  <si>
    <r>
      <t>B</t>
    </r>
    <r>
      <rPr>
        <b/>
        <vertAlign val="subscript"/>
        <sz val="11"/>
        <color theme="1"/>
        <rFont val="Calibri"/>
        <family val="2"/>
        <scheme val="minor"/>
      </rPr>
      <t>xy,i</t>
    </r>
  </si>
  <si>
    <r>
      <t>EI</t>
    </r>
    <r>
      <rPr>
        <b/>
        <vertAlign val="subscript"/>
        <sz val="11"/>
        <color theme="1"/>
        <rFont val="Calibri"/>
        <family val="2"/>
        <scheme val="minor"/>
      </rPr>
      <t>x,B,i</t>
    </r>
  </si>
  <si>
    <r>
      <t>c</t>
    </r>
    <r>
      <rPr>
        <b/>
        <vertAlign val="subscript"/>
        <sz val="11"/>
        <color theme="1"/>
        <rFont val="Calibri"/>
        <family val="2"/>
        <scheme val="minor"/>
      </rPr>
      <t>xz,i</t>
    </r>
  </si>
  <si>
    <r>
      <t>1/S</t>
    </r>
    <r>
      <rPr>
        <b/>
        <vertAlign val="subscript"/>
        <sz val="11"/>
        <color theme="1"/>
        <rFont val="Calibri"/>
        <family val="2"/>
        <scheme val="minor"/>
      </rPr>
      <t>xz,i</t>
    </r>
  </si>
  <si>
    <r>
      <t>EI</t>
    </r>
    <r>
      <rPr>
        <b/>
        <vertAlign val="subscript"/>
        <sz val="11"/>
        <color theme="1"/>
        <rFont val="Calibri"/>
        <family val="2"/>
        <scheme val="minor"/>
      </rPr>
      <t>y,B,i</t>
    </r>
  </si>
  <si>
    <r>
      <t>D</t>
    </r>
    <r>
      <rPr>
        <b/>
        <vertAlign val="subscript"/>
        <sz val="11"/>
        <color theme="1"/>
        <rFont val="Calibri"/>
        <family val="2"/>
        <scheme val="minor"/>
      </rPr>
      <t>x,i</t>
    </r>
  </si>
  <si>
    <r>
      <t>D</t>
    </r>
    <r>
      <rPr>
        <b/>
        <vertAlign val="subscript"/>
        <sz val="11"/>
        <color theme="1"/>
        <rFont val="Calibri"/>
        <family val="2"/>
        <scheme val="minor"/>
      </rPr>
      <t>xj,i</t>
    </r>
  </si>
  <si>
    <t>d=</t>
  </si>
  <si>
    <r>
      <t xml:space="preserve">1) Wenn keine Seitenverklebung vorhanden ist dann ist für die Drillsteifigkeit </t>
    </r>
    <r>
      <rPr>
        <b/>
        <sz val="11"/>
        <color theme="1"/>
        <rFont val="Calibri"/>
        <family val="2"/>
        <scheme val="minor"/>
      </rPr>
      <t>B</t>
    </r>
    <r>
      <rPr>
        <b/>
        <vertAlign val="subscript"/>
        <sz val="11"/>
        <color theme="1"/>
        <rFont val="Calibri"/>
        <family val="2"/>
        <scheme val="minor"/>
      </rPr>
      <t>xy,i</t>
    </r>
    <r>
      <rPr>
        <b/>
        <sz val="11"/>
        <color theme="1"/>
        <rFont val="Calibri"/>
        <family val="2"/>
        <scheme val="minor"/>
      </rPr>
      <t xml:space="preserve">=0 </t>
    </r>
    <r>
      <rPr>
        <sz val="10"/>
        <rFont val="Arial"/>
        <family val="2"/>
      </rPr>
      <t>anzusetzen</t>
    </r>
  </si>
  <si>
    <t>Verwendete Formeln</t>
  </si>
  <si>
    <t>siehe Wordfile</t>
  </si>
  <si>
    <t>JA</t>
  </si>
  <si>
    <t>Schmalseitenverklebung</t>
  </si>
  <si>
    <t>NEIN</t>
  </si>
  <si>
    <t>Platten- und Scheibenberechnung</t>
  </si>
  <si>
    <t>Plattenberechnung (Reissner-Mindlin)</t>
  </si>
  <si>
    <r>
      <t>B</t>
    </r>
    <r>
      <rPr>
        <vertAlign val="subscript"/>
        <sz val="11"/>
        <color theme="1"/>
        <rFont val="Calibri"/>
        <family val="2"/>
        <scheme val="minor"/>
      </rPr>
      <t>x</t>
    </r>
  </si>
  <si>
    <r>
      <t>B</t>
    </r>
    <r>
      <rPr>
        <vertAlign val="subscript"/>
        <sz val="11"/>
        <color theme="1"/>
        <rFont val="Calibri"/>
        <family val="2"/>
        <scheme val="minor"/>
      </rPr>
      <t>y</t>
    </r>
  </si>
  <si>
    <r>
      <t>B</t>
    </r>
    <r>
      <rPr>
        <vertAlign val="subscript"/>
        <sz val="11"/>
        <color theme="1"/>
        <rFont val="Calibri"/>
        <family val="2"/>
        <scheme val="minor"/>
      </rPr>
      <t>xy</t>
    </r>
  </si>
  <si>
    <r>
      <t>S</t>
    </r>
    <r>
      <rPr>
        <vertAlign val="subscript"/>
        <sz val="11"/>
        <color theme="1"/>
        <rFont val="Calibri"/>
        <family val="2"/>
        <scheme val="minor"/>
      </rPr>
      <t>x</t>
    </r>
  </si>
  <si>
    <r>
      <t>S</t>
    </r>
    <r>
      <rPr>
        <vertAlign val="subscript"/>
        <sz val="11"/>
        <color theme="1"/>
        <rFont val="Calibri"/>
        <family val="2"/>
        <scheme val="minor"/>
      </rPr>
      <t>y</t>
    </r>
  </si>
  <si>
    <r>
      <t>S</t>
    </r>
    <r>
      <rPr>
        <vertAlign val="subscript"/>
        <sz val="11"/>
        <color theme="1"/>
        <rFont val="Calibri"/>
        <family val="2"/>
        <scheme val="minor"/>
      </rPr>
      <t>xy</t>
    </r>
  </si>
  <si>
    <r>
      <t>D</t>
    </r>
    <r>
      <rPr>
        <vertAlign val="subscript"/>
        <sz val="11"/>
        <color theme="1"/>
        <rFont val="Calibri"/>
        <family val="2"/>
        <scheme val="minor"/>
      </rPr>
      <t>x</t>
    </r>
  </si>
  <si>
    <r>
      <t>D</t>
    </r>
    <r>
      <rPr>
        <vertAlign val="subscript"/>
        <sz val="11"/>
        <color theme="1"/>
        <rFont val="Calibri"/>
        <family val="2"/>
        <scheme val="minor"/>
      </rPr>
      <t>y</t>
    </r>
  </si>
  <si>
    <t>Querdehnzahlen werden mit 0 angesetzt</t>
  </si>
  <si>
    <t>scelto in INPUT</t>
  </si>
  <si>
    <r>
      <t>j</t>
    </r>
    <r>
      <rPr>
        <b/>
        <vertAlign val="subscript"/>
        <sz val="11"/>
        <color theme="1"/>
        <rFont val="Calibri"/>
        <family val="2"/>
        <scheme val="minor"/>
      </rPr>
      <t xml:space="preserve">xx,i </t>
    </r>
  </si>
  <si>
    <r>
      <t>J</t>
    </r>
    <r>
      <rPr>
        <b/>
        <vertAlign val="subscript"/>
        <sz val="11"/>
        <color theme="1"/>
        <rFont val="Calibri"/>
        <family val="2"/>
        <scheme val="minor"/>
      </rPr>
      <t>y,i</t>
    </r>
  </si>
  <si>
    <t>mm^4</t>
  </si>
  <si>
    <t>INERZIA</t>
  </si>
  <si>
    <t>area</t>
  </si>
  <si>
    <t>mm^2</t>
  </si>
  <si>
    <t>AX</t>
  </si>
  <si>
    <t>AY</t>
  </si>
  <si>
    <t>80308030803080</t>
  </si>
  <si>
    <t>Jeff(mm4) =</t>
  </si>
  <si>
    <t>Aeff(mm2) =</t>
  </si>
  <si>
    <t>Verifica rolling shear</t>
  </si>
  <si>
    <t>N/mm2</t>
  </si>
  <si>
    <t>rolling shear</t>
  </si>
  <si>
    <t>n°</t>
  </si>
  <si>
    <t>lef</t>
  </si>
  <si>
    <t>N/mm3</t>
  </si>
  <si>
    <t>kv,0,0</t>
  </si>
  <si>
    <t>Kv,ser</t>
  </si>
  <si>
    <t xml:space="preserve">N/mm  </t>
  </si>
  <si>
    <t>Fv,Rk</t>
  </si>
  <si>
    <t>fv,ref,k</t>
  </si>
  <si>
    <t>ρref,k</t>
  </si>
  <si>
    <t>kg/m3</t>
  </si>
  <si>
    <t>ρ,k</t>
  </si>
  <si>
    <t>TIPOLOGIA SHARP</t>
  </si>
  <si>
    <t>Rd,G</t>
  </si>
  <si>
    <t>Rd,G+Q</t>
  </si>
  <si>
    <t>Lunghezza unitaria</t>
  </si>
  <si>
    <t>Progettato da:</t>
  </si>
  <si>
    <t xml:space="preserve">Spostamento del connettore </t>
  </si>
  <si>
    <t xml:space="preserve">s  </t>
  </si>
  <si>
    <t>bef,ij(mm)</t>
  </si>
  <si>
    <t>bef</t>
  </si>
  <si>
    <t>NUOVO EUROCODICE5 O STORANESO</t>
  </si>
  <si>
    <t>INERZIA CON BASE EFFICACE</t>
  </si>
  <si>
    <t>area CON BASE EFFICACE</t>
  </si>
  <si>
    <t>VALUTAZIONE CON EUROCODICE 5 en 1995 1-1/2025</t>
  </si>
  <si>
    <t>INPUT L/4</t>
  </si>
  <si>
    <t>INPUT L/2</t>
  </si>
  <si>
    <t>kcrack</t>
  </si>
  <si>
    <t>EN 1995-1-1-2025</t>
  </si>
  <si>
    <t>DEFINIZIONE PANNELLO CLT VICINO AL SUPPORTO</t>
  </si>
  <si>
    <t>Forza agente sulla connessione all'appoggio</t>
  </si>
  <si>
    <t>CONNESSIONE ALL'APPOGGIO</t>
  </si>
  <si>
    <t>CONNESSIONE IN CAMPATA</t>
  </si>
  <si>
    <t>Language</t>
  </si>
  <si>
    <t>EN</t>
  </si>
  <si>
    <t>1. SUBJECT</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</si>
  <si>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</si>
  <si>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2. TECHNICAL-STANDARDS REFERENCES</t>
  </si>
  <si>
    <t>RB carried out the checks according to the Limit State method in accordance with EN 1995-1-1 Eurocode 5 - Design of timber structures and EN 1999-1-1 Eurocode 9 - Design of aluminium structures. For the mechanical resistance values and the geometry of the connectors, reference was made to ETA-23/0824.</t>
  </si>
  <si>
    <t>3. RB RIGHTS AND OBLIGATIONS</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</si>
  <si>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</si>
  <si>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4. USER RIGHTS AND OBLIGATIONS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</si>
  <si>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</si>
  <si>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5. COPYRIGHTS</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</si>
  <si>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</si>
  <si>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6. DURATION, WITHDRAWAL AND TERMINATION</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</si>
  <si>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</si>
  <si>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7. RESPONSIBILITY</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</si>
  <si>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</si>
  <si>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8. REFUND</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</si>
  <si>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</si>
  <si>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9. MISCELLANEOUS</t>
  </si>
  <si>
    <t>10. LANGUAGE</t>
  </si>
  <si>
    <t>In the event of differences between versions of these conditions in the various languages, the English text is binding and takes precedence with respect to the translations.</t>
  </si>
  <si>
    <t>11. APPLICABLE LAW AND COURT OF JURISDICTION</t>
  </si>
  <si>
    <t>This agreement and any relationship between the parties is governed exclusively by the Italian law. 
Any dispute that may arise between the parties in relation to this agreement, that cannot be resolved amicably, shall be brought before the court of Bolzano.</t>
  </si>
  <si>
    <t>12. PRIVACY</t>
  </si>
  <si>
    <t>Refer to the privacy policy available at the link:</t>
  </si>
  <si>
    <t>https://www.rothoblaas.com/privacy-policy</t>
  </si>
  <si>
    <t>ACCEPT</t>
  </si>
  <si>
    <t>IT</t>
  </si>
  <si>
    <t>CONDITIONS</t>
  </si>
  <si>
    <t>Lingua</t>
  </si>
  <si>
    <t>FR</t>
  </si>
  <si>
    <t>DE</t>
  </si>
  <si>
    <t>ES</t>
  </si>
  <si>
    <t>Sprache</t>
  </si>
  <si>
    <t>Idioma</t>
  </si>
  <si>
    <t>Langue</t>
  </si>
  <si>
    <t>LENGUAGES</t>
  </si>
  <si>
    <t>Column1</t>
  </si>
  <si>
    <t>Column2</t>
  </si>
  <si>
    <t>1. OGGETTO</t>
  </si>
  <si>
    <t>Con le presenti Condizioni Generali (o "Accordo"), ROTHO BLAAS SRL, con sede legale in I-39040 Cortaccia (BZ), Via dell'Adige 2/1 (di seguito "RB"), concede all'utente il diritto non esclusivo e revocabile di utilizzare gratuitamente il foglio di calcolo (di seguito "XLS") alle seguenti condizioni e per la durata del presente Accordo.
In ogni caso, RB non garantisce la conformità legale e progettuale dei calcoli, poiché RB intende fornire esclusivamente uno strumento di calcolo indicativo da considerarsi un servizio tecnico-commerciale nell'ambito dell'attività di vendita.
XLS consente all'utente di eseguire calcoli statici soltanto per i prodotti e i materiali indicati in ciascuna delle sue sezioni. Il presente Accordo vieta espressamente l'utilizzo di XLS per fabbricare prodotti non indicati.
Il presente Accordo disciplina pertanto il rapporto tra l'Utente e RB in relazione all'utilizzo di questo foglio di calcolo. Scaricando e utilizzando XLS, l'utente accetta il presente Accordo e le condizioni qui stabilite.</t>
  </si>
  <si>
    <t>2. RIFERIMENTI TECNICO-NORMATIVI</t>
  </si>
  <si>
    <t>RB ha effettuato le verifiche secondo il metodo degli Stati Limite in conformità alla EN 1995-1-1 Eurocodice 5 - Progettazione delle strutture in legno e alla EN 1999-1-1 Eurocodice 9 - Progettazione delle strutture in alluminio. Per i valori di resistenza meccanica e la geometria dei connettori si è fatto riferimento all'ETA-23/0824.</t>
  </si>
  <si>
    <t>3. DIRITTI E OBBLIGHI DI RB</t>
  </si>
  <si>
    <t>RB:
a) mette a disposizione XLS all'Utente gratuitamente, così com'è;
b) non fornisce all'utente alcun supporto tecnico per l'utilizzo di XLS;
c) non garantisce che XLS sia conforme alle normative vigenti o al progetto dei calcoli effettuati mediante esso. In particolare, a seguito di modifiche alle disposizioni rilevanti, quali norme, approvazioni, ecc., il foglio di calcolo può diventare invalido in parte o integralmente.
d) pur riservandosi il diritto di aggiornare, revisionare e sviluppare XLS, RB non assume alcun obbligo nei confronti dell'utente di verificare, correggere, completare o aggiornare il foglio di calcolo e/o rendere disponibili gli aggiornamenti all'utente.</t>
  </si>
  <si>
    <t>4. DIRITTI E OBBLIGHI DELL'UTENTE</t>
  </si>
  <si>
    <t>L'Utente dichiara di utilizzare il foglio di calcolo in qualità di professionista, escludendo qualsiasi utilizzo come consumatore, e di rispettare sempre i seguenti obblighi e divieti:
a) obbligo e responsabilità di verificare che XLS soddisfi le esigenze specifiche e sia compatibile con i sistemi hardware-software;
b) obbligo di verificare, per ogni utilizzo, la conformità dei calcoli effettuati tramite XLS alle normative vigenti e al progetto;
c) obbligo di verificare la conformità legale dei calcoli effettuati tramite il Software;
d) obbligo di utilizzare l'ultima versione di XLS messa a disposizione dal referente RB, verificando a ogni utilizzo eventuali aggiornamenti intervenuti;
e) divieto di utilizzare XLS per prodotti non indicati in ciascuna sezione di calcolo;
f) obbligo di utilizzare un software antivirus aggiornato e conforme allo standard di settore vigente;
g) obbligo di non cedere a terzi la licenza d'uso di XLS e/o di non trasferire, costituire in pegno, concedere in leasing, noleggiare, condividere con altri o sublicenziare in qualsiasi altro modo i diritti di utilizzo del foglio di calcolo;
h) divieto di modificare o alterare XLS in qualsiasi modo, anche tramite terzi.
L'utente si impegna a richiedere al referente RB l'ultima versione di XLS.</t>
  </si>
  <si>
    <t>1. GEGENSTAND</t>
  </si>
  <si>
    <t>Mit diesen Allgemeinen Geschäftsbedingungen (oder "Vereinbarung") räumt ROTHO BLAAS SRL, mit Sitz in I-39040 Kurtatsch (BZ), Via dell'Adige 2/1 (nachfolgend "RB"), dem Nutzer das nicht ausschließliche und widerrufliche Recht ein, die Tabellenkalkulation (nachfolgend "XLS") unter den folgenden Bedingungen und während der Laufzeit dieser Vereinbarung kostenlos zu nutzen.
In jedem Fall garantiert RB nicht die rechtliche und planerische Konformität der Berechnungen, da RB lediglich ein indikatives Berechnungstool bereitstellen möchte, das als technisch-kommerzieller Service im Rahmen der Verkaufstätigkeit zu betrachten ist.
XLS ermöglicht dem Nutzer, statische Berechnungen ausschließlich für die in den jeweiligen Abschnitten angegebenen Produkte und Materialien durchzuführen. Diese Vereinbarung untersagt ausdrücklich die Verwendung von XLS zur Herstellung nicht angegebener Produkte.
Diese Vereinbarung regelt daher das Verhältnis zwischen dem Nutzer und RB in Bezug auf die Nutzung dieser Tabellenkalkulation. Durch das Herunterladen und die Nutzung von XLS akzeptiert der Nutzer diese Vereinbarung und die hierin festgelegten Bedingungen.</t>
  </si>
  <si>
    <t>2. TECHNISCH-NORMATIVE VERWEISE</t>
  </si>
  <si>
    <t>RB hat die Nachweise nach dem Grenzzustandsverfahren gemäß EN 1995-1-1 Eurocode 5 - Bemessung und Konstruktion von Holzbauten und EN 1999-1-1 Eurocode 9 - Bemessung und Konstruktion von Aluminiumtragwerken durchgeführt. Für die mechanischen Widerstandswerte und die Geometrie der Verbinder wurde auf ETA-23/0824 Bezug genommen.</t>
  </si>
  <si>
    <t>3. RECHTE UND PFLICHTEN VON RB</t>
  </si>
  <si>
    <t>RB:
a) stellt XLS dem Nutzer kostenlos in der vorliegenden Form zur Verfügung;
b) leistet dem Nutzer keinerlei technische Unterstützung bei der Verwendung von XLS;
c) garantiert nicht, dass XLS den geltenden Vorschriften oder der mit ihm erstellten Berechnungsplanung entspricht. Insbesondere kann die Tabellenkalkulation infolge von Änderungen der einschlägigen Bestimmungen, wie Normen, Zulassungen usw., teilweise oder vollständig ungültig werden.
d) RB behält sich zwar das Recht vor, XLS zu aktualisieren, zu überarbeiten und weiterzuentwickeln, übernimmt jedoch gegenüber dem Nutzer keine Verpflichtung, die Tabellenkalkulation zu prüfen, zu korrigieren, zu vervollständigen oder zu aktualisieren und/oder dem Nutzer Aktualisierungen bereitzustellen.</t>
  </si>
  <si>
    <t>4. RECHTE UND PFLICHTEN DES NUTZERS</t>
  </si>
  <si>
    <t>Der Nutzer erklärt, die Tabellenkalkulation als Fachperson zu verwenden und jegliche Nutzung als Verbraucher auszuschließen, sowie stets die folgenden Pflichten und Verbote einzuhalten:
a) Pflicht und Verantwortung zu prüfen, ob XLS den spezifischen Anforderungen entspricht und mit den Hardware-Software-Systemen kompatibel ist;
b) Pflicht, bei jeder Verwendung die Übereinstimmung der durch XLS erstellten Berechnungen mit den geltenden Vorschriften und dem Projekt zu überprüfen;
c) Pflicht, die rechtliche Konformität der durch die Software erstellten Berechnungen zu überprüfen;
d) Pflicht, die neueste vom RB-Ansprechpartner bereitgestellte Version von XLS zu verwenden und bei jeder Nutzung zu prüfen, ob Aktualisierungen erfolgt sind;
e) Verbot, XLS für Produkte zu verwenden, die nicht in jedem Berechnungsabschnitt angegeben sind;
f) Pflicht, eine aktualisierte Antivirensoftware zu verwenden, die dem geltenden Branchenstandard entspricht;
g) Pflicht, die Lizenz zur Nutzung von XLS nicht an Dritte abzutreten und/oder die Nutzungsrechte an der Tabellenkalkulation in keiner anderen Weise zu übertragen, zu verpfänden, zu verleasen, zu vermieten, mit anderen zu teilen oder unterzulizenzieren;
h) Verbot, XLS in irgendeiner Weise zu ändern oder abzuändern, auch nicht durch Dritte.
Der Nutzer verpflichtet sich, beim RB-Ansprechpartner die neueste Version von XLS anzufordern.</t>
  </si>
  <si>
    <t>1. OBJET</t>
  </si>
  <si>
    <t>Par les présentes Conditions Générales (ou "Accord"), ROTHO BLAAS SRL, dont le siège social est situé à I-39040 Cortaccia (BZ), Via dell'Adige 2/1 (ci-après "RB"), accorde à l'utilisateur le droit non exclusif et révocable d'utiliser gratuitement la feuille de calcul (ci-après "XLS") selon les conditions suivantes et pendant la durée du présent Accord.
En tout état de cause, RB ne garantit pas la conformité juridique et de conception des calculs, car RB entend uniquement fournir un outil de calcul indicatif à considérer comme un service technico-commercial dans le cadre de l'activité de vente.
XLS permet à l'utilisateur d'effectuer des calculs statiques uniquement pour les produits et matériaux indiqués dans chacune de ses sections. Le présent Accord interdit expressément l'utilisation de XLS pour fabriquer des produits non indiqués.
Le présent Accord régit donc la relation entre l'Utilisateur et RB concernant l'utilisation de cette feuille de calcul. En téléchargeant et en utilisant XLS, l'utilisateur accepte le présent Accord et les conditions qui y sont énoncées.</t>
  </si>
  <si>
    <t>2. RÉFÉRENCES TECHNIQUES ET NORMATIVES</t>
  </si>
  <si>
    <t>RB a effectué les vérifications selon la méthode des États Limites conformément à la norme EN 1995-1-1 Eurocode 5 - Conception et calcul des structures en bois et à la norme EN 1999-1-1 Eurocode 9 - Conception et calcul des structures en aluminium. Pour les valeurs de résistance mécanique et la géométrie des connecteurs, il a été fait référence à l'ETA-23/0824.</t>
  </si>
  <si>
    <t>3. DROITS ET OBLIGATIONS DE RB</t>
  </si>
  <si>
    <t>RB :
a) met XLS à la disposition de l'Utilisateur gratuitement, en l'état ;
b) ne fournit à l'utilisateur aucun support technique pour l'utilisation de XLS ;
c) ne garantit pas que XLS est conforme aux réglementations en vigueur ni à la conception des calculs réalisés à l'aide de celui-ci. En particulier, à la suite de modifications des dispositions pertinentes, telles que normes, agréments, etc., la feuille de calcul peut devenir invalide en partie ou en totalité.
d) tout en se réservant le droit de mettre à jour, réviser et développer XLS, RB n'assume aucune obligation envers l'utilisateur de vérifier, corriger, compléter ou mettre à jour la feuille de calcul et/ou de mettre les mises à jour à la disposition de l'utilisateur.</t>
  </si>
  <si>
    <t>4. DROITS ET OBLIGATIONS DE L'UTILISATEUR</t>
  </si>
  <si>
    <t>L'Utilisateur déclare utiliser la feuille de calcul en tant que professionnel, à l'exclusion de toute utilisation en tant que consommateur, et s'engage à toujours respecter les obligations et interdictions suivantes :
a) obligation et responsabilité de vérifier que XLS répond aux besoins spécifiques et qu'il est compatible avec les systèmes matériels et logiciels ;
b) obligation de vérifier, pour chaque utilisation, la conformité des calculs effectués au moyen de XLS avec les réglementations en vigueur et avec le projet ;
c) obligation de vérifier la conformité juridique des calculs effectués au moyen du Logiciel ;
d) obligation d'utiliser la dernière version de XLS mise à disposition par le référent RB, en vérifiant à chaque utilisation les éventuelles mises à jour intervenues ;
e) interdiction d'utiliser XLS pour des produits non indiqués dans chaque section de calcul ;
f) obligation d'utiliser un logiciel antivirus à jour conforme à la norme industrielle en vigueur ;
g) obligation de ne pas céder à des tiers la licence d'utilisation de XLS et/ou de ne pas transférer, nantir, donner en crédit-bail, louer, partager avec d'autres ou sous-licencier de quelque autre manière les droits d'utilisation de la feuille de calcul ;
h) interdiction de modifier ou d'altérer XLS de quelque manière que ce soit, y compris par l'intermédiaire de tiers.
L'utilisateur s'engage à demander au référent RB la dernière version de XLS.</t>
  </si>
  <si>
    <t>1. OBJETO</t>
  </si>
  <si>
    <t>Mediante las presentes Condiciones Generales (o "Acuerdo"), ROTHO BLAAS SRL, con domicilio social en I-39040 Cortaccia (BZ), Via dell'Adige 2/1 (en adelante, "RB"), concede al usuario el derecho no exclusivo y revocable de utilizar gratuitamente la hoja de cálculo (en adelante, "XLS") bajo las siguientes condiciones y durante la vigencia del presente Acuerdo.
En cualquier caso, RB no garantiza la conformidad legal ni de diseño de los cálculos, ya que RB pretende proporcionar únicamente una herramienta de cálculo indicativa que debe considerarse un servicio técnico-comercial dentro de la actividad de venta.
XLS permite al usuario realizar cálculos estáticos únicamente para los productos y materiales indicados en cada una de sus secciones. El presente Acuerdo prohíbe expresamente utilizar XLS para fabricar productos no indicados.
Por tanto, el presente Acuerdo regula la relación entre el Usuario y RB con respecto al uso de esta hoja de cálculo. Al descargar y utilizar XLS, el usuario acepta el presente Acuerdo y las condiciones aquí establecidas.</t>
  </si>
  <si>
    <t>2. REFERENCIAS TÉCNICO-NORMATIVAS</t>
  </si>
  <si>
    <t>RB realizó las comprobaciones según el método de los Estados Límite de conformidad con la norma EN 1995-1-1 Eurocódigo 5 - Proyecto de estructuras de madera y la norma EN 1999-1-1 Eurocódigo 9 - Proyecto de estructuras de aluminio. Para los valores de resistencia mecánica y la geometría de los conectores, se tomó como referencia la ETA-23/0824.</t>
  </si>
  <si>
    <t>3. DERECHOS Y OBLIGACIONES DE RB</t>
  </si>
  <si>
    <t>RB:
a) pone XLS a disposición del Usuario gratuitamente, tal como está;
b) no proporciona al usuario ningún soporte técnico para el uso de XLS;
c) no garantiza que XLS cumpla con la normativa vigente ni con el diseño de los cálculos realizados mediante el mismo. En particular, como consecuencia de cambios en las disposiciones pertinentes, tales como normas, aprobaciones, etc., la hoja de cálculo puede quedar inválida parcial o totalmente.
d) aunque se reserva el derecho de actualizar, revisar y desarrollar XLS, RB no asume ninguna obligación frente al usuario de verificar, corregir, completar o actualizar la hoja de cálculo y/o poner las actualizaciones a disposición del usuario.</t>
  </si>
  <si>
    <t>4. DERECHOS Y OBLIGACIONES DEL USUARIO</t>
  </si>
  <si>
    <t>El Usuario declara utilizar la hoja de cálculo como profesional, excluyendo cualquier uso como consumidor, y cumplir siempre con las siguientes obligaciones y prohibiciones:
a) obligación y responsabilidad de verificar que XLS satisface las necesidades específicas y que es compatible con los sistemas de hardware y software;
b) obligación de verificar, en cada uso, la conformidad de los cálculos realizados mediante XLS con la normativa vigente y con el proyecto;
c) obligación de verificar la conformidad legal de los cálculos realizados mediante el Software;
d) obligación de utilizar la última versión de XLS puesta a disposición por la persona de contacto de RB, comprobando en cada uso si se han producido actualizaciones;
e) prohibición de utilizar XLS para productos no indicados en cada sección de cálculo;
f) obligación de utilizar un software antivirus actualizado que cumpla con la norma sectorial vigente;
g) obligación de no ceder a terceros la licencia de uso de XLS y/o de no transferir, pignorar, arrendar, alquilar, compartir con otros o sublicenciar de cualquier otro modo los derechos de uso de la hoja de cálculo;
h) prohibición de modificar o alterar XLS de cualquier forma, incluso a través de terceros.
El usuario se compromete a solicitar a la persona de contacto de RB la última versión de XLS.</t>
  </si>
  <si>
    <t>5. COPYRIGHT</t>
  </si>
  <si>
    <t>5. URHEBERRECHTE</t>
  </si>
  <si>
    <t>5. DROITS D'AUTEUR</t>
  </si>
  <si>
    <t>5. DERECHOS DE AUTOR</t>
  </si>
  <si>
    <t>I diritti d'autore sulle formulazioni riportate nel foglio di calcolo e tutti i diritti di proprietà intellettuale e industriale ad esse sottostanti (quali, a titolo esemplificativo e non esaustivo: marchi, brevetti, segreti commerciali, know-how, informazioni riservate) sono e rimangono di esclusiva proprietà di RB.
Il presente accordo non trasferisce all'utente alcuno dei diritti sopra indicati.</t>
  </si>
  <si>
    <t>Die Urheberrechte an den in der Tabellenkalkulation enthaltenen Formulierungen sowie alle ihnen zugrunde liegenden geistigen und gewerblichen Eigentumsrechte (wie insbesondere, jedoch nicht ausschließlich: Marken, Patente, Geschäftsgeheimnisse, Know-how, vertrauliche Informationen) sind und bleiben ausschließliches Eigentum von RB.
Diese Vereinbarung überträgt dem Nutzer keine der vorgenannten Rechte.</t>
  </si>
  <si>
    <t>Les droits d'auteur sur les formulations mentionnées dans la feuille de calcul ainsi que tous les droits de propriété intellectuelle et industrielle qui les sous-tendent (tels que, sans s'y limiter : marques, brevets, secrets commerciaux, savoir-faire, informations confidentielles) sont et restent la propriété exclusive de RB.
Le présent accord ne transfère aucun des droits susmentionnés à l'utilisateur.</t>
  </si>
  <si>
    <t>Los derechos de autor sobre las formulaciones indicadas en la hoja de cálculo y todos los derechos de propiedad intelectual e industrial subyacentes a las mismas (tales como, entre otros: marcas, patentes, secretos comerciales, know-how, información confidencial) son y seguirán siendo propiedad exclusiva de RB.
El presente acuerdo no transfiere al usuario ninguno de los derechos anteriores.</t>
  </si>
  <si>
    <t>6. DURATA, RECESSO E RISOLUZIONE</t>
  </si>
  <si>
    <t>6. DAUER, RÜCKTRITT UND BEENDIGUNG</t>
  </si>
  <si>
    <t>6. DURÉE, RETRAIT ET RÉSILIATION</t>
  </si>
  <si>
    <t>6. DURACIÓN, DESISTIMIENTO Y TERMINACIÓN</t>
  </si>
  <si>
    <t>Le presenti condizioni generali e, di conseguenza, la licenza d'uso del foglio di calcolo sono valide dal momento del download fino alla cessazione del suo utilizzo.
L'utente può recedere dal presente Accordo in qualsiasi momento eliminando XLS e tutte le copie dai propri sistemi.
RB può recedere dal presente Accordo e disattivare il servizio in caso di violazione di una qualsiasi delle disposizioni che regolano la licenza d'uso. Nel caso in cui RB comunichi la risoluzione, l'utente dovrà rimuovere il foglio di calcolo e ogni sua copia dai propri sistemi.</t>
  </si>
  <si>
    <t>Diese allgemeinen Bedingungen und folglich die Lizenz zur Nutzung der Tabellenkalkulation gelten ab dem Zeitpunkt des Herunterladens bis zur Beendigung ihrer Nutzung.
Der Nutzer kann jederzeit von dieser Vereinbarung zurücktreten, indem er XLS und alle Kopien von seinen Systemen löscht.
RB kann von dieser Vereinbarung zurücktreten und den Dienst deaktivieren, wenn eine der Bestimmungen zur Nutzungslizenz verletzt wird. Falls RB die Beendigung mitteilt, muss der Nutzer die Tabellenkalkulation und alle Kopien davon von seinen Systemen entfernen.</t>
  </si>
  <si>
    <t>Les présentes conditions générales et, par conséquent, la licence d'utilisation de la feuille de calcul, sont valables à compter du téléchargement jusqu'à la cessation de son utilisation.
L'utilisateur peut se retirer du présent Accord à tout moment en supprimant XLS et toutes ses copies de ses systèmes.
RB peut se retirer du présent Accord et désactiver le service en cas de violation de l'une quelconque des dispositions régissant la licence d'utilisation. Si RB notifie sa résiliation, l'utilisateur devra supprimer la feuille de calcul et toutes ses copies de ses systèmes.</t>
  </si>
  <si>
    <t>Estas condiciones generales y, en consecuencia, la licencia de uso de la hoja de cálculo, son válidas desde el momento de su descarga hasta la finalización de su uso.
El usuario podrá desistir del presente Acuerdo en cualquier momento eliminando XLS y todas sus copias de sus sistemas.
RB podrá desistir del presente Acuerdo y desactivar el servicio en caso de incumplimiento de cualquiera de las disposiciones que regulan la licencia de uso. En caso de que RB notifique su terminación, el usuario deberá eliminar la hoja de cálculo y cualquier copia de la misma de sus sistemas.</t>
  </si>
  <si>
    <t>7. RESPONSABILITÀ</t>
  </si>
  <si>
    <t>7. VERANTWORTUNG</t>
  </si>
  <si>
    <t>7. RESPONSABILITÉ</t>
  </si>
  <si>
    <t>7. RESPONSABILIDAD</t>
  </si>
  <si>
    <t>L'utente è l'unico responsabile dell'utilizzo di XLS, inclusi, a titolo esemplificativo e non esaustivo, tutti i calcoli, le stampe, i dati esportati realizzati con esso e/o gli errori di inserimento, la protezione dei file di dati e la manutenzione e, in generale, qualsiasi utilizzo del foglio di calcolo.
RB non garantisce e in nessun caso può essere ritenuta responsabile per danni, perdite e costi o altre conseguenze, per qualsiasi motivo (garanzia per vizi, garanzia per malfunzionamento, responsabilità da prodotto o legale, ecc.) derivanti da:
•   utilizzo di XLS, calcoli effettuati, conformità alla normativa vigente, al progetto o ad altre esigenze dell'Utente;
•   compatibilità hardware e software, virus, malfunzionamenti, difetti, errori o lacune;
•   mancato aggiornamento del foglio di calcolo e/o interruzione della disponibilità del foglio di calcolo e/o risoluzione dell'accordo per qualsiasi motivo;
•   violazione di diritti di proprietà intellettuale di terzi.
L'utente conferma di aver compreso e accettato le esclusioni e limitazioni di responsabilità e di rivendicazione del presente Accordo. L'utente conferma inoltre che il foglio di calcolo è disponibile gratuitamente, che le esclusioni e limitazioni costituiscono elementi fondamentali del presente Accordo e che RB non mette a disposizione dell'utente il proprio foglio di calcolo qualora le esclusioni o limitazioni vengano eliminate o modificate a favore dell'utente.</t>
  </si>
  <si>
    <t>Der Nutzer ist allein für die Nutzung von XLS verantwortlich, einschließlich, jedoch nicht beschränkt auf alle damit erstellten Berechnungen, Ausdrucke, Exportdaten und/oder Eingabefehler, den Schutz von Datendateien und die Wartung sowie allgemein für jede Nutzung der Tabellenkalkulation.
RB übernimmt keine Garantie und kann unter keinen Umständen für Schäden, Verluste und Kosten oder sonstige Folgen haftbar gemacht werden, gleich aus welchem Grund (Mängelgewährleistung, Gewährleistung bei Funktionsstörungen, Produkt- oder rechtliche Verantwortung usw.), die sich ergeben aus:
•   Nutzung von XLS, durchgeführten Berechnungen, Einhaltung der geltenden Gesetzgebung, des Projekts oder sonstiger Bedürfnisse des Nutzers;
•   Hardware- und Softwarekompatibilität, Viren, Funktionsstörungen, Mängeln, Fehlern oder Lücken;
•   unterlassener Aktualisierung der Tabellenkalkulation und/oder Unterbrechung der Verfügbarkeit der Tabellenkalkulation und/oder Beendigung der Vereinbarung aus irgendeinem Grund;
•   Verletzung von Rechten des geistigen Eigentums Dritter.
Der Nutzer bestätigt, die Haftungsausschlüsse sowie die Haftungs- und Anspruchsbeschränkungen dieser Vereinbarung verstanden und akzeptiert zu haben. Der Nutzer bestätigt außerdem, dass die Tabellenkalkulation kostenlos verfügbar ist, dass die Ausschlüsse und Beschränkungen wesentliche Bestandteile dieser Vereinbarung sind und dass RB dem Nutzer die Tabellenkalkulation nicht zur Verfügung stellt, wenn die Ausschlüsse oder Beschränkungen zugunsten des Nutzers gestrichen oder geändert werden.</t>
  </si>
  <si>
    <t>L'utilisateur est seul responsable de l'utilisation de XLS, y compris, sans s'y limiter, tous les calculs, impressions, données d'exportation réalisés avec celui-ci et/ou les erreurs de saisie, la protection des fichiers de données et la maintenance, et plus généralement toute utilisation de la feuille de calcul.
RB ne garantit pas et ne peut en aucun cas être tenue responsable des dommages, pertes et coûts ou autres conséquences, pour quelque raison que ce soit (garantie des défauts, garantie de dysfonctionnement, responsabilité produit ou légale, etc.) découlant de :
•   l'utilisation de XLS, des calculs effectués, de la conformité à la législation en vigueur, au projet ou à d'autres besoins de l'Utilisateur ;
•   la compatibilité matérielle et logicielle, les virus, dysfonctionnements, défauts, erreurs ou lacunes ;
•   le défaut de mise à jour de la feuille de calcul et/ou l'interruption de la disponibilité de la feuille de calcul et/ou la résiliation de l'accord pour quelque raison que ce soit ;
•   la violation de droits de propriété intellectuelle de tiers.
L'utilisateur confirme avoir compris et accepté les clauses de non-responsabilité ainsi que les limitations de responsabilité et de réclamation du présent Accord. L'utilisateur confirme également que la feuille de calcul est disponible gratuitement, que les exclusions et limitations constituent des éléments fondamentaux du présent Accord et que RB ne met pas sa feuille de calcul à la disposition de l'utilisateur si les exclusions ou limitations sont supprimées ou modifiées en faveur de l'utilisateur.</t>
  </si>
  <si>
    <t>El usuario es el único responsable del uso de XLS, incluidos, entre otros, todos los cálculos, impresiones, datos de exportación realizados con él y/o los errores de introducción, la protección de los archivos de datos y el mantenimiento y, en general, cualquier uso de la hoja de cálculo.
RB no garantiza y en ningún caso podrá ser considerada responsable de daños, pérdidas y costes u otras consecuencias, por cualquier motivo (garantía por defectos, garantía por mal funcionamiento, responsabilidad de producto o legal, etc.) derivados de:
•   uso de XLS, cálculos realizados, cumplimiento de la legislación vigente, del proyecto u otras necesidades del Usuario;
•   compatibilidad de hardware y software, virus, mal funcionamientos, defectos, errores o lagunas;
•   falta de actualización de la hoja de cálculo y/o interrupción de la disponibilidad de la hoja de cálculo y/o terminación del acuerdo por cualquier motivo;
•   infracción de derechos de propiedad intelectual de terceros.
El usuario confirma haber comprendido y aceptado las exenciones y limitaciones de responsabilidad y reclamación del presente Acuerdo. El usuario confirma además que la hoja de cálculo está disponible de forma gratuita, que las exclusiones y limitaciones son elementos fundamentales del presente Acuerdo y que RB no pone su hoja de cálculo a disposición del usuario si las exclusiones o limitaciones se eliminan o modifican a favor del usuario.</t>
  </si>
  <si>
    <t>8. INDENNIZZO</t>
  </si>
  <si>
    <t>8. FREISTELLUNG</t>
  </si>
  <si>
    <t>8. INDEMNISATION</t>
  </si>
  <si>
    <t>8. INDEMNIZACIÓN</t>
  </si>
  <si>
    <t>L'utente accetta di indennizzare e manlevare RB, le sue controllate e i suoi o i rispettivi funzionari, amministratori, dipendenti, successori e incaricati (ciascuno individualmente, "Beneficiario", collettivamente, i "Beneficiari") dai costi sostenuti in relazione a richieste avanzate da terzi per danni o perdite derivanti dall'utilizzo del foglio di calcolo da parte dell'utente (inclusi, a titolo esemplificativo e non esaustivo, onorari e costi di gestione sostenuti da RB).</t>
  </si>
  <si>
    <t>Der Nutzer verpflichtet sich, RB, seine Tochtergesellschaften sowie seine bzw. deren leitenden Angestellten, Geschäftsführer, Mitarbeiter, Rechtsnachfolger und Beauftragten (jeweils einzeln "Begünstigter", zusammen die "Begünstigten") von Kosten freizustellen und schadlos zu halten, die im Zusammenhang mit Ansprüchen Dritter wegen Schäden oder Verlusten entstehen, die aus der Nutzung der Tabellenkalkulation durch den Nutzer herrühren (einschließlich, jedoch nicht beschränkt auf von RB getragene Gebühren und Verwaltungskosten).</t>
  </si>
  <si>
    <t>L'utilisateur accepte d'indemniser et de dégager de toute responsabilité RB, ses filiales ainsi que ses ou leurs dirigeants, administrateurs, employés, successeurs et mandataires (chacun individuellement, "Bénéficiaire", collectivement, les "Bénéficiaires") pour les coûts encourus en relation avec des réclamations formulées par des tiers pour des dommages ou pertes découlant de l'utilisation de la feuille de calcul par l'utilisateur (y compris, sans s'y limiter, les honoraires et frais de gestion supportés par RB).</t>
  </si>
  <si>
    <t>El usuario acepta indemnizar y mantener indemne a RB, sus filiales y sus respectivos directivos, administradores, empleados, sucesores y designados (cada uno individualmente, "Beneficiario", colectivamente, los "Beneficiarios") por los costes incurridos en relación con reclamaciones formuladas por terceros por daños o pérdidas derivados del uso de la hoja de cálculo por parte del usuario (incluidos, entre otros, honorarios y costes de gestión incurridos por RB).</t>
  </si>
  <si>
    <t>9. VARIE</t>
  </si>
  <si>
    <t>9. SONSTIGES</t>
  </si>
  <si>
    <t>9. DIVERS</t>
  </si>
  <si>
    <t>9. VARIOS</t>
  </si>
  <si>
    <t>10. LINGUA</t>
  </si>
  <si>
    <t>10. SPRACHE</t>
  </si>
  <si>
    <t>10. LANGUE</t>
  </si>
  <si>
    <t>10. IDIOMA</t>
  </si>
  <si>
    <t>In caso di differenze tra le versioni delle presenti condizioni nelle diverse lingue, il testo inglese è vincolante e prevale sulle traduzioni.</t>
  </si>
  <si>
    <t>Bei Abweichungen zwischen den Fassungen dieser Bedingungen in den verschiedenen Sprachen ist der englische Text verbindlich und hat Vorrang gegenüber den Übersetzungen.</t>
  </si>
  <si>
    <t>En cas de divergences entre les versions des présentes conditions dans les différentes langues, le texte anglais fait foi et prévaut sur les traductions.</t>
  </si>
  <si>
    <t>En caso de diferencias entre las versiones de estas condiciones en los distintos idiomas, el texto en inglés será vinculante y prevalecerá sobre las traducciones.</t>
  </si>
  <si>
    <t>11. LEGGE APPLICABILE E FORO COMPETENTE</t>
  </si>
  <si>
    <t>11. ANWENDBARES RECHT UND GERICHTSSTAND</t>
  </si>
  <si>
    <t>11. DROIT APPLICABLE ET TRIBUNAL COMPÉTENT</t>
  </si>
  <si>
    <t>11. LEY APLICABLE Y JURISDICCIÓN COMPETENTE</t>
  </si>
  <si>
    <t>Il presente accordo e qualsiasi rapporto tra le parti sono regolati esclusivamente dalla legge italiana. 
Qualsiasi controversia che dovesse insorgere tra le parti in relazione al presente accordo e che non possa essere risolta amichevolmente sarà deferita al tribunale di Bolzano.</t>
  </si>
  <si>
    <t>Diese Vereinbarung und jede Beziehung zwischen den Parteien unterliegen ausschließlich italienischem Recht. 
Jede Streitigkeit, die zwischen den Parteien im Zusammenhang mit dieser Vereinbarung entstehen kann und nicht gütlich beigelegt werden kann, ist vor das Gericht Bozen zu bringen.</t>
  </si>
  <si>
    <t>Le présent accord et toute relation entre les parties sont régis exclusivement par le droit italien. 
Tout litige susceptible de survenir entre les parties en relation avec le présent accord et ne pouvant être résolu à l'amiable sera porté devant le tribunal de Bolzano.</t>
  </si>
  <si>
    <t>El presente acuerdo y cualquier relación entre las partes se regirán exclusivamente por la ley italiana. 
Cualquier controversia que pueda surgir entre las partes en relación con el presente acuerdo y que no pueda resolverse amistosamente será sometida al tribunal de Bolzano.</t>
  </si>
  <si>
    <t>12. DATENSCHUTZ</t>
  </si>
  <si>
    <t>12. CONFIDENTIALITÉ</t>
  </si>
  <si>
    <t>12. PRIVACIDAD</t>
  </si>
  <si>
    <t>Fare riferimento all'informativa privacy disponibile al link:</t>
  </si>
  <si>
    <t>Bitte beachten Sie die unter folgendem Link verfügbare Datenschutzerklärung:</t>
  </si>
  <si>
    <t>Veuillez vous référer à la politique de confidentialité disponible au lien suivant :</t>
  </si>
  <si>
    <t>Consulte la política de privacidad disponible en el enlace:</t>
  </si>
  <si>
    <t>ACCETTA</t>
  </si>
  <si>
    <t>AKZEPTIEREN</t>
  </si>
  <si>
    <t>ACCEPTER</t>
  </si>
  <si>
    <t>ACEPTAR</t>
  </si>
  <si>
    <t>INPUT</t>
  </si>
  <si>
    <t>Project informations</t>
  </si>
  <si>
    <t>Standard</t>
  </si>
  <si>
    <t>Project</t>
  </si>
  <si>
    <t>Notes</t>
  </si>
  <si>
    <t>Municipality</t>
  </si>
  <si>
    <t>Province</t>
  </si>
  <si>
    <t>Client</t>
  </si>
  <si>
    <t>Permanent loads</t>
  </si>
  <si>
    <t>SHARP METAL</t>
  </si>
  <si>
    <t>Accidental loads</t>
  </si>
  <si>
    <t>Load duration</t>
  </si>
  <si>
    <t>Service Class</t>
  </si>
  <si>
    <t>Designer</t>
  </si>
  <si>
    <t>Design Loads</t>
  </si>
  <si>
    <t>Timber properties</t>
  </si>
  <si>
    <t>Element 1</t>
  </si>
  <si>
    <t>Element 2</t>
  </si>
  <si>
    <t>Wood type</t>
  </si>
  <si>
    <t>Permanent</t>
  </si>
  <si>
    <t>Short term</t>
  </si>
  <si>
    <t>Long term</t>
  </si>
  <si>
    <t>Medium term</t>
  </si>
  <si>
    <t>Istantaneous</t>
  </si>
  <si>
    <t>Geometry</t>
  </si>
  <si>
    <t>CLT type</t>
  </si>
  <si>
    <t>Informazioni progetto</t>
  </si>
  <si>
    <t>Comune</t>
  </si>
  <si>
    <t>Provincia</t>
  </si>
  <si>
    <t>Progetto</t>
  </si>
  <si>
    <t>Note</t>
  </si>
  <si>
    <t>Carichi di progetto</t>
  </si>
  <si>
    <t>Carichi permanenti</t>
  </si>
  <si>
    <t>Carichi accidentali</t>
  </si>
  <si>
    <t>Permanente</t>
  </si>
  <si>
    <t>Lungo termine</t>
  </si>
  <si>
    <t>Medio termine</t>
  </si>
  <si>
    <t>Breve termine</t>
  </si>
  <si>
    <t>Caratteristiche del legno</t>
  </si>
  <si>
    <t>Elemento 1</t>
  </si>
  <si>
    <t>Tipo di legno</t>
  </si>
  <si>
    <t>Elemento 2</t>
  </si>
  <si>
    <t>Geometria</t>
  </si>
  <si>
    <t>Tipo CLT</t>
  </si>
  <si>
    <t>Projektinformationen</t>
  </si>
  <si>
    <t>Datum</t>
  </si>
  <si>
    <t>Gemeinde</t>
  </si>
  <si>
    <t>Provinz</t>
  </si>
  <si>
    <t>Projekt</t>
  </si>
  <si>
    <t>Planer</t>
  </si>
  <si>
    <t>Auftraggeber</t>
  </si>
  <si>
    <t>Norm</t>
  </si>
  <si>
    <t>Anmerkungen</t>
  </si>
  <si>
    <t>Bemessungslasten</t>
  </si>
  <si>
    <t>Ständige Lasten</t>
  </si>
  <si>
    <t>Veränderliche Lasten</t>
  </si>
  <si>
    <t>Lasteinwirkungsdauer</t>
  </si>
  <si>
    <t>Ständig</t>
  </si>
  <si>
    <t>Langfristig</t>
  </si>
  <si>
    <t>Mittelfristig</t>
  </si>
  <si>
    <t>Kurzfristig</t>
  </si>
  <si>
    <t>Sehr kurz</t>
  </si>
  <si>
    <t>Nutzungsklasse</t>
  </si>
  <si>
    <t>Holzeigenschaften</t>
  </si>
  <si>
    <t>Holzart</t>
  </si>
  <si>
    <t>Geometrie</t>
  </si>
  <si>
    <t>BSP-Typ</t>
  </si>
  <si>
    <t>Informations du projet</t>
  </si>
  <si>
    <t>Date</t>
  </si>
  <si>
    <t>Commune</t>
  </si>
  <si>
    <t>Projet</t>
  </si>
  <si>
    <t>Concepteur</t>
  </si>
  <si>
    <t>Norme</t>
  </si>
  <si>
    <t>Charges de calcul</t>
  </si>
  <si>
    <t>Charges permanentes</t>
  </si>
  <si>
    <t>Charges variables</t>
  </si>
  <si>
    <t>Durée de chargement</t>
  </si>
  <si>
    <t>Long terme</t>
  </si>
  <si>
    <t>Moyen terme</t>
  </si>
  <si>
    <t>Court terme</t>
  </si>
  <si>
    <t>Instantané</t>
  </si>
  <si>
    <t>Classe de service</t>
  </si>
  <si>
    <t>Propriétés du bois</t>
  </si>
  <si>
    <t>Élément 1</t>
  </si>
  <si>
    <t>Type de bois</t>
  </si>
  <si>
    <t>Élément 2</t>
  </si>
  <si>
    <t>Géométrie</t>
  </si>
  <si>
    <t>Type CLT</t>
  </si>
  <si>
    <t>Información del proyecto</t>
  </si>
  <si>
    <t>Fecha</t>
  </si>
  <si>
    <t>Municipio</t>
  </si>
  <si>
    <t>Proyecto</t>
  </si>
  <si>
    <t>Diseñador</t>
  </si>
  <si>
    <t>Cliente</t>
  </si>
  <si>
    <t>Norma</t>
  </si>
  <si>
    <t>Notas</t>
  </si>
  <si>
    <t>Cargas de diseño</t>
  </si>
  <si>
    <t>Cargas permanentes</t>
  </si>
  <si>
    <t>Cargas variables</t>
  </si>
  <si>
    <t>Duración de la carga</t>
  </si>
  <si>
    <t>Largo plazo</t>
  </si>
  <si>
    <t>Medio plazo</t>
  </si>
  <si>
    <t>Corto plazo</t>
  </si>
  <si>
    <t>Instantáneo</t>
  </si>
  <si>
    <t>Clase de servicio</t>
  </si>
  <si>
    <t>Propiedades de la madera</t>
  </si>
  <si>
    <t>Tipo de madera</t>
  </si>
  <si>
    <t>Geometría</t>
  </si>
  <si>
    <t>USER DEFINED</t>
  </si>
  <si>
    <t>Base</t>
  </si>
  <si>
    <t>Height</t>
  </si>
  <si>
    <t>Rolling shear resistance</t>
  </si>
  <si>
    <t>Beam span</t>
  </si>
  <si>
    <t>SHARP_METAL_CALCULATOR_v1.1</t>
  </si>
  <si>
    <t>(1) Slab</t>
  </si>
  <si>
    <t>SHARP_METAL_CALCULATOR
v1.1</t>
  </si>
  <si>
    <t>GENERAL TERMS AND CONDITIONS OF THE LICENSE AGREEMENT FOR THE USE OF THE SPREADSHEET "SHARP_METAL_CALCULATOR"</t>
  </si>
  <si>
    <t>CONDIZIONI GENERALI DEL CONTRATTO DI LICENZA PER L'USO DEL FOGLIO DI CALCOLO "SHARP_METAL_CALCULATOR"</t>
  </si>
  <si>
    <t>ALLGEMEINE GESCHÄFTSBEDINGUNGEN DER LIZENZVEREINBARUNG FÜR DIE NUTZUNG DER TABELLENKALKULATION "SHARP_METAL_CALCULATOR"</t>
  </si>
  <si>
    <t>CONDITIONS GÉNÉRALES DU CONTRAT DE LICENCE POUR L'UTILISATION DE LA FEUILLE DE CALCUL "SHARP_METAL_CALCULATOR"</t>
  </si>
  <si>
    <t>CONDICIONES GENERALES DEL CONTRATO DE LICENCIA PARA EL USO DE LA HOJA DE CÁLCULO "SHARP_METAL_CALCULATOR"</t>
  </si>
  <si>
    <t>At mid span</t>
  </si>
  <si>
    <t>SHARP METAL type</t>
  </si>
  <si>
    <t>SHARP METAL (alone) + TBS MAX@a = 250mm</t>
  </si>
  <si>
    <t>Connection system configuration</t>
  </si>
  <si>
    <t>Influence lenght</t>
  </si>
  <si>
    <t>Number of SHARP METAL</t>
  </si>
  <si>
    <t>TBS MAX diameter</t>
  </si>
  <si>
    <t>At Support</t>
  </si>
  <si>
    <t>OUTPUT</t>
  </si>
  <si>
    <t>Press-bending</t>
  </si>
  <si>
    <t>Shear</t>
  </si>
  <si>
    <t>Tens-bending</t>
  </si>
  <si>
    <t>Connection</t>
  </si>
  <si>
    <t>(2) Rib beam</t>
  </si>
  <si>
    <t>Presso-flessione</t>
  </si>
  <si>
    <t>Tenso-flessione</t>
  </si>
  <si>
    <t>Connessione</t>
  </si>
  <si>
    <t>(1) Pannello</t>
  </si>
  <si>
    <t>Minimum width</t>
  </si>
  <si>
    <t>SHARP METAL CALCULATOR</t>
  </si>
  <si>
    <t>CS</t>
  </si>
  <si>
    <t>SHARP METAL + TBS MAX@a ≤ 100mm</t>
  </si>
  <si>
    <t>SHARP METAL + TBS MAX@100mm &lt; a ≤ 175mm</t>
  </si>
  <si>
    <t>Partial factor</t>
  </si>
  <si>
    <t>Coefficiente parziale</t>
  </si>
  <si>
    <r>
      <rPr>
        <sz val="11"/>
        <color theme="1"/>
        <rFont val="Verdana"/>
        <family val="2"/>
      </rPr>
      <t>ρ</t>
    </r>
    <r>
      <rPr>
        <vertAlign val="subscript"/>
        <sz val="15.95"/>
        <color theme="1"/>
        <rFont val="Calibri"/>
        <family val="2"/>
      </rPr>
      <t>k</t>
    </r>
  </si>
  <si>
    <r>
      <rPr>
        <sz val="11"/>
        <color theme="1"/>
        <rFont val="Verdana"/>
        <family val="2"/>
      </rPr>
      <t>γ</t>
    </r>
    <r>
      <rPr>
        <vertAlign val="subscript"/>
        <sz val="15.95"/>
        <color theme="1"/>
        <rFont val="Calibri"/>
        <family val="2"/>
      </rPr>
      <t>M</t>
    </r>
  </si>
  <si>
    <t>9</t>
  </si>
  <si>
    <t>7</t>
  </si>
  <si>
    <t>5</t>
  </si>
  <si>
    <t>3</t>
  </si>
  <si>
    <t>0</t>
  </si>
  <si>
    <t>Layers</t>
  </si>
  <si>
    <t>Code</t>
  </si>
  <si>
    <t>(2) Nervatura</t>
  </si>
  <si>
    <t>Altezza</t>
  </si>
  <si>
    <t>At support</t>
  </si>
  <si>
    <t>3'</t>
  </si>
  <si>
    <t>5'</t>
  </si>
  <si>
    <t>7'</t>
  </si>
  <si>
    <t>9'</t>
  </si>
  <si>
    <t>γ</t>
  </si>
  <si>
    <r>
      <t>γ</t>
    </r>
    <r>
      <rPr>
        <vertAlign val="subscript"/>
        <sz val="10"/>
        <rFont val="Verdana"/>
        <family val="2"/>
      </rPr>
      <t>M</t>
    </r>
  </si>
  <si>
    <t>Description</t>
  </si>
  <si>
    <t>Connections</t>
  </si>
  <si>
    <r>
      <t>G</t>
    </r>
    <r>
      <rPr>
        <i/>
        <vertAlign val="subscript"/>
        <sz val="12"/>
        <rFont val="Times New Roman"/>
        <family val="1"/>
      </rPr>
      <t>mean</t>
    </r>
  </si>
  <si>
    <r>
      <rPr>
        <sz val="11"/>
        <color theme="1"/>
        <rFont val="Verdana"/>
        <family val="2"/>
      </rPr>
      <t>ρ</t>
    </r>
    <r>
      <rPr>
        <vertAlign val="subscript"/>
        <sz val="10"/>
        <rFont val="Arial"/>
        <family val="2"/>
      </rPr>
      <t>mean</t>
    </r>
  </si>
  <si>
    <r>
      <t>γ</t>
    </r>
    <r>
      <rPr>
        <vertAlign val="subscript"/>
        <sz val="10"/>
        <rFont val="Verdana"/>
        <family val="2"/>
      </rPr>
      <t>g</t>
    </r>
  </si>
  <si>
    <r>
      <t>γ</t>
    </r>
    <r>
      <rPr>
        <vertAlign val="subscript"/>
        <sz val="10"/>
        <rFont val="Verdana"/>
        <family val="2"/>
      </rPr>
      <t>q</t>
    </r>
  </si>
  <si>
    <r>
      <t>f</t>
    </r>
    <r>
      <rPr>
        <vertAlign val="subscript"/>
        <sz val="11"/>
        <color theme="1"/>
        <rFont val="Calibri"/>
        <family val="2"/>
        <scheme val="minor"/>
      </rPr>
      <t>r,k</t>
    </r>
  </si>
  <si>
    <r>
      <t>G</t>
    </r>
    <r>
      <rPr>
        <vertAlign val="subscript"/>
        <sz val="11"/>
        <color theme="1"/>
        <rFont val="Calibri"/>
        <family val="2"/>
        <scheme val="minor"/>
      </rPr>
      <t>05</t>
    </r>
  </si>
  <si>
    <r>
      <t>E</t>
    </r>
    <r>
      <rPr>
        <vertAlign val="subscript"/>
        <sz val="11"/>
        <color theme="1"/>
        <rFont val="Calibri"/>
        <family val="2"/>
        <scheme val="minor"/>
      </rPr>
      <t>90,mean</t>
    </r>
  </si>
  <si>
    <r>
      <t>E</t>
    </r>
    <r>
      <rPr>
        <vertAlign val="subscript"/>
        <sz val="11"/>
        <color theme="1"/>
        <rFont val="Calibri"/>
        <family val="2"/>
        <scheme val="minor"/>
      </rPr>
      <t>90,05</t>
    </r>
  </si>
  <si>
    <r>
      <t>G</t>
    </r>
    <r>
      <rPr>
        <vertAlign val="subscript"/>
        <sz val="11"/>
        <color theme="1"/>
        <rFont val="Calibri"/>
        <family val="2"/>
        <scheme val="minor"/>
      </rPr>
      <t>r,mean</t>
    </r>
  </si>
  <si>
    <r>
      <t>G</t>
    </r>
    <r>
      <rPr>
        <vertAlign val="subscript"/>
        <sz val="11"/>
        <color theme="1"/>
        <rFont val="Calibri"/>
        <family val="2"/>
        <scheme val="minor"/>
      </rPr>
      <t>r,05</t>
    </r>
  </si>
  <si>
    <r>
      <t>G</t>
    </r>
    <r>
      <rPr>
        <i/>
        <vertAlign val="subscript"/>
        <sz val="12"/>
        <rFont val="Times New Roman"/>
        <family val="1"/>
      </rPr>
      <t>05</t>
    </r>
  </si>
  <si>
    <r>
      <t>E</t>
    </r>
    <r>
      <rPr>
        <vertAlign val="subscript"/>
        <sz val="12"/>
        <color theme="0" tint="-0.499984740745262"/>
        <rFont val="Calibri"/>
        <family val="2"/>
        <scheme val="minor"/>
      </rPr>
      <t>0,mean</t>
    </r>
  </si>
  <si>
    <r>
      <t>E</t>
    </r>
    <r>
      <rPr>
        <vertAlign val="subscript"/>
        <sz val="12"/>
        <color theme="0" tint="-0.499984740745262"/>
        <rFont val="Calibri"/>
        <family val="2"/>
        <scheme val="minor"/>
      </rPr>
      <t>90,mean</t>
    </r>
  </si>
  <si>
    <r>
      <t>G</t>
    </r>
    <r>
      <rPr>
        <vertAlign val="subscript"/>
        <sz val="12"/>
        <color theme="0" tint="-0.499984740745262"/>
        <rFont val="Calibri"/>
        <family val="2"/>
        <scheme val="minor"/>
      </rPr>
      <t>mean</t>
    </r>
  </si>
  <si>
    <r>
      <t>G</t>
    </r>
    <r>
      <rPr>
        <vertAlign val="subscript"/>
        <sz val="12"/>
        <color theme="0" tint="-0.499984740745262"/>
        <rFont val="Calibri"/>
        <family val="2"/>
        <scheme val="minor"/>
      </rPr>
      <t>r,mean</t>
    </r>
  </si>
  <si>
    <r>
      <t>j</t>
    </r>
    <r>
      <rPr>
        <vertAlign val="subscript"/>
        <sz val="11"/>
        <color theme="1"/>
        <rFont val="Calibri"/>
        <family val="2"/>
        <scheme val="minor"/>
      </rPr>
      <t>xx,i</t>
    </r>
  </si>
  <si>
    <r>
      <t>[mm</t>
    </r>
    <r>
      <rPr>
        <b/>
        <vertAlign val="superscript"/>
        <sz val="11"/>
        <color theme="1"/>
        <rFont val="Calibri"/>
        <family val="2"/>
        <scheme val="minor"/>
      </rPr>
      <t>4</t>
    </r>
    <r>
      <rPr>
        <b/>
        <sz val="11"/>
        <color theme="1"/>
        <rFont val="Calibri"/>
        <family val="2"/>
        <scheme val="minor"/>
      </rPr>
      <t>]</t>
    </r>
  </si>
  <si>
    <r>
      <t>[mm</t>
    </r>
    <r>
      <rPr>
        <b/>
        <vertAlign val="superscript"/>
        <sz val="11"/>
        <color theme="1"/>
        <rFont val="Calibri"/>
        <family val="2"/>
        <scheme val="minor"/>
      </rPr>
      <t>2</t>
    </r>
    <r>
      <rPr>
        <b/>
        <sz val="11"/>
        <color theme="1"/>
        <rFont val="Calibri"/>
        <family val="2"/>
        <scheme val="minor"/>
      </rPr>
      <t>]</t>
    </r>
  </si>
  <si>
    <t>numero sharp affiancati</t>
  </si>
  <si>
    <r>
      <rPr>
        <sz val="11"/>
        <color theme="1"/>
        <rFont val="Verdana"/>
        <family val="2"/>
      </rPr>
      <t>ρ</t>
    </r>
    <r>
      <rPr>
        <vertAlign val="subscript"/>
        <sz val="10"/>
        <rFont val="Arial"/>
        <family val="2"/>
      </rPr>
      <t>k</t>
    </r>
  </si>
  <si>
    <r>
      <t>γ</t>
    </r>
    <r>
      <rPr>
        <vertAlign val="subscript"/>
        <sz val="10"/>
        <rFont val="Verdana"/>
        <family val="2"/>
      </rPr>
      <t>M1</t>
    </r>
  </si>
  <si>
    <r>
      <t>γ</t>
    </r>
    <r>
      <rPr>
        <vertAlign val="subscript"/>
        <sz val="10"/>
        <rFont val="Verdana"/>
        <family val="2"/>
      </rPr>
      <t>M,2</t>
    </r>
  </si>
  <si>
    <t>Connection verification</t>
  </si>
  <si>
    <t>Verifiche di resistenza - SLU (t = 0)</t>
  </si>
  <si>
    <t>Verifiche di resistenza - SLU (t = ∞)</t>
  </si>
  <si>
    <t>Verifica della connessione</t>
  </si>
  <si>
    <t>Verifica di freccia</t>
  </si>
  <si>
    <r>
      <t>γ</t>
    </r>
    <r>
      <rPr>
        <vertAlign val="subscript"/>
        <sz val="10"/>
        <rFont val="Verdana"/>
        <family val="2"/>
      </rPr>
      <t>M,SLU,1</t>
    </r>
  </si>
  <si>
    <r>
      <t>γ</t>
    </r>
    <r>
      <rPr>
        <vertAlign val="subscript"/>
        <sz val="10"/>
        <rFont val="Verdana"/>
        <family val="2"/>
      </rPr>
      <t>M,SLU,2</t>
    </r>
  </si>
  <si>
    <t>per CLT da EC5:2025</t>
  </si>
  <si>
    <t>Instabilità</t>
  </si>
  <si>
    <t>Sezione tesa</t>
  </si>
  <si>
    <r>
      <t>γ</t>
    </r>
    <r>
      <rPr>
        <i/>
        <vertAlign val="subscript"/>
        <sz val="12"/>
        <rFont val="Times New Roman"/>
        <family val="1"/>
      </rPr>
      <t>m,SLU,1</t>
    </r>
  </si>
  <si>
    <r>
      <t>γ</t>
    </r>
    <r>
      <rPr>
        <i/>
        <vertAlign val="subscript"/>
        <sz val="12"/>
        <rFont val="Times New Roman"/>
        <family val="1"/>
      </rPr>
      <t>m,SLU,2</t>
    </r>
    <r>
      <rPr>
        <sz val="10"/>
        <color theme="1"/>
        <rFont val="Verdana"/>
        <family val="2"/>
      </rPr>
      <t/>
    </r>
  </si>
  <si>
    <t>Deflection verification - ELS (t = 0)</t>
  </si>
  <si>
    <t>Resistance verification - ULS (t  = 0)</t>
  </si>
  <si>
    <r>
      <t xml:space="preserve">Resistance verification - ULS (t  = </t>
    </r>
    <r>
      <rPr>
        <sz val="11"/>
        <color theme="1"/>
        <rFont val="Verdana"/>
        <family val="2"/>
      </rPr>
      <t>∞</t>
    </r>
    <r>
      <rPr>
        <sz val="11"/>
        <color theme="1"/>
        <rFont val="Calibri"/>
        <family val="2"/>
      </rPr>
      <t>)</t>
    </r>
  </si>
  <si>
    <t>Maximum deflection</t>
  </si>
  <si>
    <t>Istantaneous deflection</t>
  </si>
  <si>
    <t>Final deflection</t>
  </si>
  <si>
    <t>Vibration verification</t>
  </si>
  <si>
    <t>Collaborating width</t>
  </si>
  <si>
    <t>Fundamental Frequency</t>
  </si>
  <si>
    <t>Deflection limit</t>
  </si>
  <si>
    <t>Istantaneous velocity</t>
  </si>
  <si>
    <t>Maximum acceleration</t>
  </si>
  <si>
    <r>
      <t>Nmm</t>
    </r>
    <r>
      <rPr>
        <vertAlign val="superscript"/>
        <sz val="11"/>
        <color theme="1"/>
        <rFont val="Calibri"/>
        <family val="2"/>
        <scheme val="minor"/>
      </rPr>
      <t>2</t>
    </r>
    <r>
      <rPr>
        <sz val="11"/>
        <color theme="1"/>
        <rFont val="Calibri"/>
        <family val="2"/>
      </rPr>
      <t>/m</t>
    </r>
  </si>
  <si>
    <t>Damping</t>
  </si>
  <si>
    <t>mm/s</t>
  </si>
  <si>
    <t>Maximum velocity</t>
  </si>
  <si>
    <r>
      <t>v</t>
    </r>
    <r>
      <rPr>
        <i/>
        <vertAlign val="subscript"/>
        <sz val="12"/>
        <color theme="1"/>
        <rFont val="Times New Roman"/>
        <family val="1"/>
      </rPr>
      <t>lim</t>
    </r>
  </si>
  <si>
    <t>Vibrazioni non percepibili</t>
  </si>
  <si>
    <t>Vibrazioni percepibili non fastidiose</t>
  </si>
  <si>
    <t>Vibrazioni non accettabili</t>
  </si>
  <si>
    <t>Vibrations not perceptible</t>
  </si>
  <si>
    <t>Perceptible vibrations not annoying</t>
  </si>
  <si>
    <t>Unacceptable vibrations</t>
  </si>
  <si>
    <t>Lateral stiffness</t>
  </si>
  <si>
    <t>Teilsicherheitsbeiwert</t>
  </si>
  <si>
    <t>Coefficient partiel</t>
  </si>
  <si>
    <t>Coeficiente parcial</t>
  </si>
  <si>
    <t>(1) Platte</t>
  </si>
  <si>
    <t>(1) Panneau</t>
  </si>
  <si>
    <t>(1) Panel</t>
  </si>
  <si>
    <t>Höhe</t>
  </si>
  <si>
    <t>Hauteur</t>
  </si>
  <si>
    <t>Altura</t>
  </si>
  <si>
    <t>Breite</t>
  </si>
  <si>
    <t>Resistenza a taglio per rotolamento</t>
  </si>
  <si>
    <t>Rollschubfestigkeit</t>
  </si>
  <si>
    <t>Résistance au cisaillement roulant</t>
  </si>
  <si>
    <t>Resistencia al cortante por rodadura</t>
  </si>
  <si>
    <t>(2) Rippenbalken</t>
  </si>
  <si>
    <t>(2) Nervure</t>
  </si>
  <si>
    <t>(2) Nervio</t>
  </si>
  <si>
    <t>Larghezza minima</t>
  </si>
  <si>
    <t>Mindestbreite</t>
  </si>
  <si>
    <t>Largeur minimale</t>
  </si>
  <si>
    <t>Anchura mínima</t>
  </si>
  <si>
    <t>Luce della trave</t>
  </si>
  <si>
    <t>Spannweite des Balkens</t>
  </si>
  <si>
    <t>Portée de la poutre</t>
  </si>
  <si>
    <t>Luz de la viga</t>
  </si>
  <si>
    <t>Configurazione sistema di connessione</t>
  </si>
  <si>
    <t>Konfiguration des Verbindungssystems</t>
  </si>
  <si>
    <t>Configuration du système de connexion</t>
  </si>
  <si>
    <t>Configuración del sistema de conexión</t>
  </si>
  <si>
    <t>All’appoggio</t>
  </si>
  <si>
    <t>Am Auflager</t>
  </si>
  <si>
    <t>À l’appui</t>
  </si>
  <si>
    <t>En el apoyo</t>
  </si>
  <si>
    <t>Tipo SHARP METAL</t>
  </si>
  <si>
    <t>SHARP METAL-Typ</t>
  </si>
  <si>
    <t>Type SHARP METAL</t>
  </si>
  <si>
    <t>Lunghezza di influenza</t>
  </si>
  <si>
    <t>Einflusslänge</t>
  </si>
  <si>
    <t>Longueur d’influence</t>
  </si>
  <si>
    <t>Longitud de influencia</t>
  </si>
  <si>
    <t>Numero di SHARP METAL</t>
  </si>
  <si>
    <t>Anzahl SHARP METAL</t>
  </si>
  <si>
    <t>Nombre de SHARP METAL</t>
  </si>
  <si>
    <t>Número de SHARP METAL</t>
  </si>
  <si>
    <t>Diametro TBS MAX</t>
  </si>
  <si>
    <t>TBS MAX-Durchmesser</t>
  </si>
  <si>
    <t>Diamètre TBS MAX</t>
  </si>
  <si>
    <t>Diámetro TBS MAX</t>
  </si>
  <si>
    <t>In mezzeria</t>
  </si>
  <si>
    <t>In Feldmitte</t>
  </si>
  <si>
    <t>À mi-portée</t>
  </si>
  <si>
    <t>En el centro del vano</t>
  </si>
  <si>
    <t>Tragfähigkeitsnachweis - GZT (t = 0)</t>
  </si>
  <si>
    <t>Vérification de résistance - ELU (t = 0)</t>
  </si>
  <si>
    <t>Verificación de resistencia - ELU (t = 0)</t>
  </si>
  <si>
    <t>Druck-Biegung</t>
  </si>
  <si>
    <t>Flexion-compression</t>
  </si>
  <si>
    <t>Compresión-flexión</t>
  </si>
  <si>
    <t>Schub</t>
  </si>
  <si>
    <t>Cisaillement</t>
  </si>
  <si>
    <t>Cortante</t>
  </si>
  <si>
    <t>Zug-Biegung</t>
  </si>
  <si>
    <t>Traction-flexion</t>
  </si>
  <si>
    <t>Tracción-flexión</t>
  </si>
  <si>
    <t>Verbindung</t>
  </si>
  <si>
    <t>Connexion</t>
  </si>
  <si>
    <t>Conexión</t>
  </si>
  <si>
    <t>Verbindungsnachweis</t>
  </si>
  <si>
    <t>Vérification de la connexion</t>
  </si>
  <si>
    <t>Verificación de la conexión</t>
  </si>
  <si>
    <t>Tragfähigkeitsnachweis - GZT (t = ∞)</t>
  </si>
  <si>
    <t>Vérification de résistance - ELU (t = ∞)</t>
  </si>
  <si>
    <t>Verificación de resistencia - ELU (t = ∞)</t>
  </si>
  <si>
    <t>Durchbiegungsnachweis - GZG (t = 0)</t>
  </si>
  <si>
    <t>Vérification de la flèche - ELS (t = 0)</t>
  </si>
  <si>
    <t>Verificación de flecha - ELS (t = 0)</t>
  </si>
  <si>
    <t>Freccia massima</t>
  </si>
  <si>
    <t>Maximale Durchbiegung</t>
  </si>
  <si>
    <t>Flèche maximale</t>
  </si>
  <si>
    <t>Flecha máxima</t>
  </si>
  <si>
    <t>Freccia istantanea</t>
  </si>
  <si>
    <t>Sofortige Durchbiegung</t>
  </si>
  <si>
    <t>Flèche instantanée</t>
  </si>
  <si>
    <t>Flecha instantánea</t>
  </si>
  <si>
    <t>Verifica di freccia - SLE (t = ∞)</t>
  </si>
  <si>
    <t>Deflection verification - ELS (t = ∞)</t>
  </si>
  <si>
    <t>Durchbiegungsnachweis - GZG (t = ∞)</t>
  </si>
  <si>
    <t>Vérification de la flèche - ELS (t = ∞)</t>
  </si>
  <si>
    <t>Verificación de flecha - ELS (t = ∞)</t>
  </si>
  <si>
    <t>Freccia finale</t>
  </si>
  <si>
    <t>Enddurchbiegung</t>
  </si>
  <si>
    <t>Flèche finale</t>
  </si>
  <si>
    <t>Flecha final</t>
  </si>
  <si>
    <t>Verifica delle vibrazioni</t>
  </si>
  <si>
    <t>Schwingungsnachweis</t>
  </si>
  <si>
    <t>Vérification des vibrations</t>
  </si>
  <si>
    <t>Verificación de vibraciones</t>
  </si>
  <si>
    <t>Rigidezza laterale</t>
  </si>
  <si>
    <t>Seitliche Steifigkeit</t>
  </si>
  <si>
    <t>Rigidité latérale</t>
  </si>
  <si>
    <t>Rigidez lateral</t>
  </si>
  <si>
    <t>Dämpfung</t>
  </si>
  <si>
    <t>Amortissement</t>
  </si>
  <si>
    <t>Amortiguamiento</t>
  </si>
  <si>
    <t>Mitwirkende Breite</t>
  </si>
  <si>
    <t>Largeur collaborante</t>
  </si>
  <si>
    <t>Anchura colaborante</t>
  </si>
  <si>
    <t>Grundfrequenz</t>
  </si>
  <si>
    <t>Fréquence fondamentale</t>
  </si>
  <si>
    <t>Frecuencia fundamental</t>
  </si>
  <si>
    <t>Limite di freccia</t>
  </si>
  <si>
    <t>Durchbiegungsgrenze</t>
  </si>
  <si>
    <t>Limite de flèche</t>
  </si>
  <si>
    <t>Límite de flecha</t>
  </si>
  <si>
    <t>Velocità istantanea</t>
  </si>
  <si>
    <t>Sofortige Geschwindigkeit</t>
  </si>
  <si>
    <t>Vitesse instantanée</t>
  </si>
  <si>
    <t>Velocidad instantánea</t>
  </si>
  <si>
    <t>Velocità massima</t>
  </si>
  <si>
    <t>Maximale Geschwindigkeit</t>
  </si>
  <si>
    <t>Vitesse maximale</t>
  </si>
  <si>
    <t>Velocidad máxima</t>
  </si>
  <si>
    <t>Accelerazione massima</t>
  </si>
  <si>
    <t>Maximale Beschleunigung</t>
  </si>
  <si>
    <t>Accélération maximale</t>
  </si>
  <si>
    <t>Aceleración máxima</t>
  </si>
  <si>
    <t>Nicht wahrnehmbare Schwingungen</t>
  </si>
  <si>
    <t>Vibrations non perceptibles</t>
  </si>
  <si>
    <t>Vibraciones no perceptibles</t>
  </si>
  <si>
    <t>Wahrnehmbare, nicht störende Schwingungen</t>
  </si>
  <si>
    <t>Vibrations perceptibles non gênantes</t>
  </si>
  <si>
    <t>Vibraciones perceptibles no molestas</t>
  </si>
  <si>
    <t>Nicht akzeptable Schwingungen</t>
  </si>
  <si>
    <t>Vibrations non acceptables</t>
  </si>
  <si>
    <t>Vibraciones no aceptables</t>
  </si>
  <si>
    <t>UNI EN 1995:2014</t>
  </si>
  <si>
    <t>REPORT</t>
  </si>
  <si>
    <t>Relazione tecnica di calcolo</t>
  </si>
  <si>
    <t>Technical calculation report</t>
  </si>
  <si>
    <t>Sharp metal calculation</t>
  </si>
  <si>
    <r>
      <t>f</t>
    </r>
    <r>
      <rPr>
        <i/>
        <vertAlign val="subscript"/>
        <sz val="12"/>
        <rFont val="Verdana"/>
        <family val="2"/>
      </rPr>
      <t>m,k</t>
    </r>
  </si>
  <si>
    <r>
      <t>f</t>
    </r>
    <r>
      <rPr>
        <i/>
        <vertAlign val="subscript"/>
        <sz val="12"/>
        <rFont val="Verdana"/>
        <family val="2"/>
      </rPr>
      <t>t,0,k</t>
    </r>
  </si>
  <si>
    <r>
      <t>f</t>
    </r>
    <r>
      <rPr>
        <i/>
        <vertAlign val="subscript"/>
        <sz val="12"/>
        <rFont val="Verdana"/>
        <family val="2"/>
      </rPr>
      <t>t,90,k</t>
    </r>
  </si>
  <si>
    <r>
      <t>f</t>
    </r>
    <r>
      <rPr>
        <i/>
        <vertAlign val="subscript"/>
        <sz val="12"/>
        <rFont val="Verdana"/>
        <family val="2"/>
      </rPr>
      <t>c,0,k</t>
    </r>
  </si>
  <si>
    <r>
      <t>f</t>
    </r>
    <r>
      <rPr>
        <i/>
        <vertAlign val="subscript"/>
        <sz val="12"/>
        <rFont val="Verdana"/>
        <family val="2"/>
      </rPr>
      <t>c,90,k</t>
    </r>
  </si>
  <si>
    <r>
      <t>f</t>
    </r>
    <r>
      <rPr>
        <i/>
        <vertAlign val="subscript"/>
        <sz val="12"/>
        <rFont val="Verdana"/>
        <family val="2"/>
      </rPr>
      <t>v,k</t>
    </r>
  </si>
  <si>
    <r>
      <t>s</t>
    </r>
    <r>
      <rPr>
        <i/>
        <vertAlign val="subscript"/>
        <sz val="12"/>
        <rFont val="Verdana"/>
        <family val="2"/>
      </rPr>
      <t>eq</t>
    </r>
  </si>
  <si>
    <r>
      <t>k</t>
    </r>
    <r>
      <rPr>
        <i/>
        <vertAlign val="subscript"/>
        <sz val="12"/>
        <rFont val="Verdana"/>
        <family val="2"/>
      </rPr>
      <t>def</t>
    </r>
  </si>
  <si>
    <r>
      <t>k</t>
    </r>
    <r>
      <rPr>
        <i/>
        <vertAlign val="subscript"/>
        <sz val="12"/>
        <rFont val="Verdana"/>
        <family val="2"/>
      </rPr>
      <t>h, el 1</t>
    </r>
  </si>
  <si>
    <r>
      <t>k</t>
    </r>
    <r>
      <rPr>
        <i/>
        <vertAlign val="subscript"/>
        <sz val="12"/>
        <rFont val="Verdana"/>
        <family val="2"/>
      </rPr>
      <t>h, el 2</t>
    </r>
  </si>
  <si>
    <r>
      <t>γ</t>
    </r>
    <r>
      <rPr>
        <i/>
        <vertAlign val="subscript"/>
        <sz val="12"/>
        <rFont val="Verdana"/>
        <family val="2"/>
      </rPr>
      <t>m SLU,con</t>
    </r>
  </si>
  <si>
    <r>
      <t>γ</t>
    </r>
    <r>
      <rPr>
        <i/>
        <vertAlign val="subscript"/>
        <sz val="12"/>
        <rFont val="Verdana"/>
        <family val="2"/>
      </rPr>
      <t>m,SLU,1</t>
    </r>
  </si>
  <si>
    <r>
      <t>γ</t>
    </r>
    <r>
      <rPr>
        <i/>
        <vertAlign val="subscript"/>
        <sz val="12"/>
        <rFont val="Verdana"/>
        <family val="2"/>
      </rPr>
      <t>m,SLU,2</t>
    </r>
    <r>
      <rPr>
        <sz val="10"/>
        <color theme="1"/>
        <rFont val="Verdana"/>
        <family val="2"/>
      </rPr>
      <t/>
    </r>
  </si>
  <si>
    <r>
      <t>E</t>
    </r>
    <r>
      <rPr>
        <i/>
        <vertAlign val="subscript"/>
        <sz val="12"/>
        <rFont val="Verdana"/>
        <family val="2"/>
      </rPr>
      <t>1</t>
    </r>
    <r>
      <rPr>
        <i/>
        <sz val="12"/>
        <rFont val="Verdana"/>
        <family val="2"/>
      </rPr>
      <t>J</t>
    </r>
    <r>
      <rPr>
        <i/>
        <vertAlign val="subscript"/>
        <sz val="12"/>
        <rFont val="Verdana"/>
        <family val="2"/>
      </rPr>
      <t>1</t>
    </r>
  </si>
  <si>
    <r>
      <t>Nmm</t>
    </r>
    <r>
      <rPr>
        <vertAlign val="superscript"/>
        <sz val="10"/>
        <rFont val="Verdana"/>
        <family val="2"/>
      </rPr>
      <t>2</t>
    </r>
  </si>
  <si>
    <r>
      <t>E</t>
    </r>
    <r>
      <rPr>
        <i/>
        <vertAlign val="subscript"/>
        <sz val="12"/>
        <rFont val="Verdana"/>
        <family val="2"/>
      </rPr>
      <t>1</t>
    </r>
    <r>
      <rPr>
        <i/>
        <sz val="12"/>
        <rFont val="Verdana"/>
        <family val="2"/>
      </rPr>
      <t>A</t>
    </r>
    <r>
      <rPr>
        <i/>
        <vertAlign val="subscript"/>
        <sz val="12"/>
        <rFont val="Verdana"/>
        <family val="2"/>
      </rPr>
      <t>1</t>
    </r>
  </si>
  <si>
    <r>
      <t>E</t>
    </r>
    <r>
      <rPr>
        <i/>
        <vertAlign val="subscript"/>
        <sz val="12"/>
        <rFont val="Verdana"/>
        <family val="2"/>
      </rPr>
      <t>2</t>
    </r>
    <r>
      <rPr>
        <i/>
        <sz val="12"/>
        <rFont val="Verdana"/>
        <family val="2"/>
      </rPr>
      <t>J</t>
    </r>
    <r>
      <rPr>
        <i/>
        <vertAlign val="subscript"/>
        <sz val="12"/>
        <rFont val="Verdana"/>
        <family val="2"/>
      </rPr>
      <t>2</t>
    </r>
  </si>
  <si>
    <r>
      <t>E</t>
    </r>
    <r>
      <rPr>
        <i/>
        <vertAlign val="subscript"/>
        <sz val="12"/>
        <rFont val="Verdana"/>
        <family val="2"/>
      </rPr>
      <t>2</t>
    </r>
    <r>
      <rPr>
        <i/>
        <sz val="12"/>
        <rFont val="Verdana"/>
        <family val="2"/>
      </rPr>
      <t>A</t>
    </r>
    <r>
      <rPr>
        <i/>
        <vertAlign val="subscript"/>
        <sz val="12"/>
        <rFont val="Verdana"/>
        <family val="2"/>
      </rPr>
      <t>2</t>
    </r>
  </si>
  <si>
    <r>
      <t>(EJ</t>
    </r>
    <r>
      <rPr>
        <i/>
        <vertAlign val="subscript"/>
        <sz val="12"/>
        <rFont val="Verdana"/>
        <family val="2"/>
      </rPr>
      <t>0</t>
    </r>
    <r>
      <rPr>
        <i/>
        <sz val="12"/>
        <rFont val="Verdana"/>
        <family val="2"/>
      </rPr>
      <t>)</t>
    </r>
    <r>
      <rPr>
        <i/>
        <vertAlign val="subscript"/>
        <sz val="12"/>
        <rFont val="Verdana"/>
        <family val="2"/>
      </rPr>
      <t>t=0</t>
    </r>
  </si>
  <si>
    <r>
      <t>(EA</t>
    </r>
    <r>
      <rPr>
        <i/>
        <vertAlign val="subscript"/>
        <sz val="12"/>
        <rFont val="Verdana"/>
        <family val="2"/>
      </rPr>
      <t>0</t>
    </r>
    <r>
      <rPr>
        <i/>
        <sz val="12"/>
        <rFont val="Verdana"/>
        <family val="2"/>
      </rPr>
      <t>)</t>
    </r>
    <r>
      <rPr>
        <i/>
        <vertAlign val="subscript"/>
        <sz val="12"/>
        <rFont val="Verdana"/>
        <family val="2"/>
      </rPr>
      <t>t=0</t>
    </r>
  </si>
  <si>
    <r>
      <t xml:space="preserve">Rigidezze sistema composto t = </t>
    </r>
    <r>
      <rPr>
        <b/>
        <sz val="10"/>
        <rFont val="Verdana"/>
        <family val="2"/>
      </rPr>
      <t>∞</t>
    </r>
  </si>
  <si>
    <r>
      <t>(EJ</t>
    </r>
    <r>
      <rPr>
        <i/>
        <vertAlign val="subscript"/>
        <sz val="12"/>
        <rFont val="Verdana"/>
        <family val="2"/>
      </rPr>
      <t>0</t>
    </r>
    <r>
      <rPr>
        <i/>
        <sz val="12"/>
        <rFont val="Verdana"/>
        <family val="2"/>
      </rPr>
      <t>)</t>
    </r>
    <r>
      <rPr>
        <i/>
        <vertAlign val="subscript"/>
        <sz val="12"/>
        <rFont val="Verdana"/>
        <family val="2"/>
      </rPr>
      <t>t=∞</t>
    </r>
  </si>
  <si>
    <r>
      <t>(EA</t>
    </r>
    <r>
      <rPr>
        <i/>
        <vertAlign val="subscript"/>
        <sz val="12"/>
        <rFont val="Verdana"/>
        <family val="2"/>
      </rPr>
      <t>0</t>
    </r>
    <r>
      <rPr>
        <i/>
        <sz val="12"/>
        <rFont val="Verdana"/>
        <family val="2"/>
      </rPr>
      <t>)</t>
    </r>
    <r>
      <rPr>
        <i/>
        <vertAlign val="subscript"/>
        <sz val="12"/>
        <rFont val="Verdana"/>
        <family val="2"/>
      </rPr>
      <t>t=∞</t>
    </r>
  </si>
  <si>
    <r>
      <t>γ</t>
    </r>
    <r>
      <rPr>
        <i/>
        <vertAlign val="subscript"/>
        <sz val="12"/>
        <rFont val="Verdana"/>
        <family val="2"/>
      </rPr>
      <t>1</t>
    </r>
  </si>
  <si>
    <r>
      <t>(EJ</t>
    </r>
    <r>
      <rPr>
        <i/>
        <vertAlign val="subscript"/>
        <sz val="12"/>
        <rFont val="Verdana"/>
        <family val="2"/>
      </rPr>
      <t>eff</t>
    </r>
    <r>
      <rPr>
        <i/>
        <sz val="12"/>
        <rFont val="Verdana"/>
        <family val="2"/>
      </rPr>
      <t>)</t>
    </r>
    <r>
      <rPr>
        <i/>
        <vertAlign val="subscript"/>
        <sz val="12"/>
        <rFont val="Verdana"/>
        <family val="2"/>
      </rPr>
      <t>t=∞</t>
    </r>
  </si>
  <si>
    <r>
      <t>Rigidezze sistema composto t=</t>
    </r>
    <r>
      <rPr>
        <b/>
        <sz val="10"/>
        <rFont val="Verdana"/>
        <family val="2"/>
      </rPr>
      <t>0</t>
    </r>
  </si>
  <si>
    <r>
      <t>(EJ</t>
    </r>
    <r>
      <rPr>
        <i/>
        <vertAlign val="subscript"/>
        <sz val="12"/>
        <rFont val="Verdana"/>
        <family val="2"/>
      </rPr>
      <t>eff</t>
    </r>
    <r>
      <rPr>
        <i/>
        <sz val="12"/>
        <rFont val="Verdana"/>
        <family val="2"/>
      </rPr>
      <t>)</t>
    </r>
    <r>
      <rPr>
        <i/>
        <vertAlign val="subscript"/>
        <sz val="12"/>
        <rFont val="Verdana"/>
        <family val="2"/>
      </rPr>
      <t>t=0</t>
    </r>
  </si>
  <si>
    <r>
      <t xml:space="preserve">CALCOLO RIGIDEZZE SLE  t = </t>
    </r>
    <r>
      <rPr>
        <b/>
        <sz val="14"/>
        <rFont val="Verdana"/>
        <family val="2"/>
      </rPr>
      <t>∞</t>
    </r>
  </si>
  <si>
    <r>
      <t>(EJ</t>
    </r>
    <r>
      <rPr>
        <i/>
        <vertAlign val="subscript"/>
        <sz val="12"/>
        <rFont val="Verdana"/>
        <family val="2"/>
      </rPr>
      <t>0</t>
    </r>
    <r>
      <rPr>
        <i/>
        <sz val="12"/>
        <rFont val="Verdana"/>
        <family val="2"/>
      </rPr>
      <t>)</t>
    </r>
    <r>
      <rPr>
        <i/>
        <vertAlign val="subscript"/>
        <sz val="12"/>
        <rFont val="Verdana"/>
        <family val="2"/>
      </rPr>
      <t>t=</t>
    </r>
    <r>
      <rPr>
        <vertAlign val="subscript"/>
        <sz val="12"/>
        <rFont val="Verdana"/>
        <family val="2"/>
      </rPr>
      <t>∞</t>
    </r>
  </si>
  <si>
    <r>
      <t>Rigidezze sistema composto t=</t>
    </r>
    <r>
      <rPr>
        <b/>
        <sz val="10"/>
        <rFont val="Verdana"/>
        <family val="2"/>
      </rPr>
      <t>∞</t>
    </r>
  </si>
  <si>
    <r>
      <t>(EJ</t>
    </r>
    <r>
      <rPr>
        <i/>
        <vertAlign val="subscript"/>
        <sz val="12"/>
        <rFont val="Verdana"/>
        <family val="2"/>
      </rPr>
      <t>eff</t>
    </r>
    <r>
      <rPr>
        <i/>
        <sz val="12"/>
        <rFont val="Verdana"/>
        <family val="2"/>
      </rPr>
      <t>)</t>
    </r>
    <r>
      <rPr>
        <i/>
        <vertAlign val="subscript"/>
        <sz val="12"/>
        <rFont val="Verdana"/>
        <family val="2"/>
      </rPr>
      <t>t=</t>
    </r>
    <r>
      <rPr>
        <vertAlign val="subscript"/>
        <sz val="12"/>
        <rFont val="Verdana"/>
        <family val="2"/>
      </rPr>
      <t>∞</t>
    </r>
  </si>
  <si>
    <r>
      <t>u</t>
    </r>
    <r>
      <rPr>
        <i/>
        <vertAlign val="subscript"/>
        <sz val="12"/>
        <rFont val="Verdana"/>
        <family val="2"/>
      </rPr>
      <t>g,ist</t>
    </r>
  </si>
  <si>
    <r>
      <t>u</t>
    </r>
    <r>
      <rPr>
        <i/>
        <vertAlign val="subscript"/>
        <sz val="12"/>
        <rFont val="Verdana"/>
        <family val="2"/>
      </rPr>
      <t>q,ist</t>
    </r>
  </si>
  <si>
    <r>
      <t>u</t>
    </r>
    <r>
      <rPr>
        <i/>
        <vertAlign val="subscript"/>
        <sz val="12"/>
        <rFont val="Verdana"/>
        <family val="2"/>
      </rPr>
      <t>lim</t>
    </r>
  </si>
  <si>
    <r>
      <t>u</t>
    </r>
    <r>
      <rPr>
        <i/>
        <vertAlign val="subscript"/>
        <sz val="12"/>
        <rFont val="Verdana"/>
        <family val="2"/>
      </rPr>
      <t>ist</t>
    </r>
  </si>
  <si>
    <r>
      <t xml:space="preserve">Calcolo freccia a t = </t>
    </r>
    <r>
      <rPr>
        <b/>
        <sz val="12"/>
        <rFont val="Verdana"/>
        <family val="2"/>
      </rPr>
      <t>∞</t>
    </r>
  </si>
  <si>
    <r>
      <t>u</t>
    </r>
    <r>
      <rPr>
        <i/>
        <vertAlign val="subscript"/>
        <sz val="12"/>
        <rFont val="Verdana"/>
        <family val="2"/>
      </rPr>
      <t>g,fin</t>
    </r>
  </si>
  <si>
    <r>
      <t>u</t>
    </r>
    <r>
      <rPr>
        <i/>
        <vertAlign val="subscript"/>
        <sz val="12"/>
        <rFont val="Verdana"/>
        <family val="2"/>
      </rPr>
      <t>q,fin</t>
    </r>
  </si>
  <si>
    <r>
      <t>u</t>
    </r>
    <r>
      <rPr>
        <i/>
        <vertAlign val="subscript"/>
        <sz val="12"/>
        <rFont val="Verdana"/>
        <family val="2"/>
      </rPr>
      <t>ifin</t>
    </r>
  </si>
  <si>
    <r>
      <t>kg/m</t>
    </r>
    <r>
      <rPr>
        <vertAlign val="superscript"/>
        <sz val="10"/>
        <rFont val="Verdana"/>
        <family val="2"/>
      </rPr>
      <t>2</t>
    </r>
  </si>
  <si>
    <r>
      <t>EJ</t>
    </r>
    <r>
      <rPr>
        <i/>
        <vertAlign val="subscript"/>
        <sz val="12"/>
        <rFont val="Verdana"/>
        <family val="2"/>
      </rPr>
      <t>b</t>
    </r>
  </si>
  <si>
    <r>
      <t>Nmm</t>
    </r>
    <r>
      <rPr>
        <vertAlign val="superscript"/>
        <sz val="10"/>
        <rFont val="Verdana"/>
        <family val="2"/>
      </rPr>
      <t>2</t>
    </r>
    <r>
      <rPr>
        <sz val="10"/>
        <rFont val="Verdana"/>
        <family val="2"/>
      </rPr>
      <t>/m</t>
    </r>
  </si>
  <si>
    <r>
      <t>b</t>
    </r>
    <r>
      <rPr>
        <i/>
        <vertAlign val="subscript"/>
        <sz val="10"/>
        <rFont val="Verdana"/>
        <family val="2"/>
      </rPr>
      <t>m</t>
    </r>
  </si>
  <si>
    <r>
      <t>f</t>
    </r>
    <r>
      <rPr>
        <i/>
        <vertAlign val="subscript"/>
        <sz val="12"/>
        <rFont val="Verdana"/>
        <family val="2"/>
      </rPr>
      <t>1</t>
    </r>
  </si>
  <si>
    <r>
      <t>EJ</t>
    </r>
    <r>
      <rPr>
        <i/>
        <vertAlign val="subscript"/>
        <sz val="12"/>
        <rFont val="Verdana"/>
        <family val="2"/>
      </rPr>
      <t>l</t>
    </r>
  </si>
  <si>
    <r>
      <t>w</t>
    </r>
    <r>
      <rPr>
        <i/>
        <vertAlign val="subscript"/>
        <sz val="12"/>
        <rFont val="Verdana"/>
        <family val="2"/>
      </rPr>
      <t>lim</t>
    </r>
  </si>
  <si>
    <r>
      <rPr>
        <i/>
        <sz val="12"/>
        <rFont val="Verdana"/>
        <family val="2"/>
      </rPr>
      <t>n</t>
    </r>
    <r>
      <rPr>
        <i/>
        <vertAlign val="subscript"/>
        <sz val="12"/>
        <rFont val="Verdana"/>
        <family val="2"/>
      </rPr>
      <t>40</t>
    </r>
  </si>
  <si>
    <r>
      <t>v</t>
    </r>
    <r>
      <rPr>
        <i/>
        <vertAlign val="subscript"/>
        <sz val="12"/>
        <rFont val="Verdana"/>
        <family val="2"/>
      </rPr>
      <t>lim</t>
    </r>
  </si>
  <si>
    <r>
      <t>m/s</t>
    </r>
    <r>
      <rPr>
        <vertAlign val="superscript"/>
        <sz val="10"/>
        <rFont val="Verdana"/>
        <family val="2"/>
      </rPr>
      <t>2</t>
    </r>
  </si>
  <si>
    <t>V1.1</t>
  </si>
  <si>
    <r>
      <t>e</t>
    </r>
    <r>
      <rPr>
        <vertAlign val="subscript"/>
        <sz val="10"/>
        <color theme="1"/>
        <rFont val="Calibri"/>
        <family val="2"/>
        <scheme val="minor"/>
      </rPr>
      <t>min</t>
    </r>
  </si>
  <si>
    <r>
      <t>a</t>
    </r>
    <r>
      <rPr>
        <vertAlign val="subscript"/>
        <sz val="10"/>
        <color theme="1"/>
        <rFont val="Calibri"/>
        <family val="2"/>
        <scheme val="minor"/>
      </rPr>
      <t>4,c,min</t>
    </r>
  </si>
  <si>
    <r>
      <t>N/mm</t>
    </r>
    <r>
      <rPr>
        <vertAlign val="superscript"/>
        <sz val="10"/>
        <color theme="1"/>
        <rFont val="Calibri"/>
        <family val="2"/>
        <scheme val="minor"/>
      </rPr>
      <t>2</t>
    </r>
  </si>
  <si>
    <r>
      <t>kN/m</t>
    </r>
    <r>
      <rPr>
        <vertAlign val="superscript"/>
        <sz val="10"/>
        <color theme="1"/>
        <rFont val="Calibri"/>
        <family val="2"/>
        <scheme val="minor"/>
      </rPr>
      <t>2</t>
    </r>
  </si>
  <si>
    <t>ℓ</t>
  </si>
  <si>
    <t>ℓ/4</t>
  </si>
  <si>
    <t>ℓ/2</t>
  </si>
  <si>
    <t>5 ⋅ d</t>
  </si>
  <si>
    <t>d</t>
  </si>
  <si>
    <t>g + q</t>
  </si>
  <si>
    <r>
      <t>g</t>
    </r>
    <r>
      <rPr>
        <i/>
        <vertAlign val="subscript"/>
        <sz val="10"/>
        <color theme="1"/>
        <rFont val="Times New Roman"/>
        <family val="1"/>
      </rPr>
      <t>1,k</t>
    </r>
    <r>
      <rPr>
        <i/>
        <sz val="10"/>
        <color theme="1"/>
        <rFont val="Times New Roman"/>
        <family val="1"/>
      </rPr>
      <t xml:space="preserve"> + g</t>
    </r>
    <r>
      <rPr>
        <i/>
        <vertAlign val="subscript"/>
        <sz val="10"/>
        <color theme="1"/>
        <rFont val="Times New Roman"/>
        <family val="1"/>
      </rPr>
      <t>2,k</t>
    </r>
  </si>
  <si>
    <r>
      <t>q</t>
    </r>
    <r>
      <rPr>
        <i/>
        <vertAlign val="subscript"/>
        <sz val="10"/>
        <color theme="1"/>
        <rFont val="Times New Roman"/>
        <family val="1"/>
      </rPr>
      <t>k</t>
    </r>
  </si>
  <si>
    <r>
      <t>ψ</t>
    </r>
    <r>
      <rPr>
        <i/>
        <vertAlign val="subscript"/>
        <sz val="10"/>
        <color theme="1"/>
        <rFont val="Times New Roman"/>
        <family val="1"/>
      </rPr>
      <t>2,1</t>
    </r>
  </si>
  <si>
    <r>
      <t>h</t>
    </r>
    <r>
      <rPr>
        <i/>
        <vertAlign val="subscript"/>
        <sz val="10"/>
        <color theme="1"/>
        <rFont val="Times New Roman"/>
        <family val="1"/>
      </rPr>
      <t>1</t>
    </r>
  </si>
  <si>
    <r>
      <t>b</t>
    </r>
    <r>
      <rPr>
        <i/>
        <vertAlign val="subscript"/>
        <sz val="10"/>
        <color theme="1"/>
        <rFont val="Times New Roman"/>
        <family val="1"/>
      </rPr>
      <t>1</t>
    </r>
  </si>
  <si>
    <r>
      <t>f</t>
    </r>
    <r>
      <rPr>
        <i/>
        <vertAlign val="subscript"/>
        <sz val="10"/>
        <color theme="1"/>
        <rFont val="Times New Roman"/>
        <family val="1"/>
      </rPr>
      <t>v,rs,k</t>
    </r>
  </si>
  <si>
    <r>
      <t>b</t>
    </r>
    <r>
      <rPr>
        <i/>
        <vertAlign val="subscript"/>
        <sz val="10"/>
        <color theme="1"/>
        <rFont val="Times New Roman"/>
        <family val="1"/>
      </rPr>
      <t>2,min</t>
    </r>
  </si>
  <si>
    <r>
      <t>h</t>
    </r>
    <r>
      <rPr>
        <i/>
        <vertAlign val="subscript"/>
        <sz val="10"/>
        <color theme="1"/>
        <rFont val="Times New Roman"/>
        <family val="1"/>
      </rPr>
      <t>2</t>
    </r>
  </si>
  <si>
    <r>
      <t>b</t>
    </r>
    <r>
      <rPr>
        <i/>
        <vertAlign val="subscript"/>
        <sz val="10"/>
        <color theme="1"/>
        <rFont val="Times New Roman"/>
        <family val="1"/>
      </rPr>
      <t>2</t>
    </r>
  </si>
  <si>
    <t>Panel type</t>
  </si>
  <si>
    <t>Panel height</t>
  </si>
  <si>
    <r>
      <t>mm</t>
    </r>
    <r>
      <rPr>
        <vertAlign val="superscript"/>
        <sz val="10"/>
        <color theme="1"/>
        <rFont val="Verdana"/>
        <family val="2"/>
      </rPr>
      <t>4</t>
    </r>
  </si>
  <si>
    <t>Panel width</t>
  </si>
  <si>
    <r>
      <t>mm</t>
    </r>
    <r>
      <rPr>
        <vertAlign val="superscript"/>
        <sz val="10"/>
        <color theme="1"/>
        <rFont val="Verdana"/>
        <family val="2"/>
      </rPr>
      <t>2</t>
    </r>
  </si>
  <si>
    <t>Number of layers</t>
  </si>
  <si>
    <t>Effective inertia</t>
  </si>
  <si>
    <t>Effective area</t>
  </si>
  <si>
    <t>8s</t>
  </si>
  <si>
    <t>Layers (code)</t>
  </si>
  <si>
    <t>Service class</t>
  </si>
  <si>
    <t>Load on the coupled beam</t>
  </si>
  <si>
    <t>Influence span</t>
  </si>
  <si>
    <t>Design loads on slab surface</t>
  </si>
  <si>
    <t>Design loads on the beam</t>
  </si>
  <si>
    <t>g</t>
  </si>
  <si>
    <t>ℓ /</t>
  </si>
  <si>
    <r>
      <t>u</t>
    </r>
    <r>
      <rPr>
        <i/>
        <vertAlign val="subscript"/>
        <sz val="10"/>
        <color theme="1"/>
        <rFont val="Times New Roman"/>
        <family val="1"/>
      </rPr>
      <t>q,inst</t>
    </r>
  </si>
  <si>
    <r>
      <t>u</t>
    </r>
    <r>
      <rPr>
        <i/>
        <vertAlign val="subscript"/>
        <sz val="10"/>
        <color theme="1"/>
        <rFont val="Times New Roman"/>
        <family val="1"/>
      </rPr>
      <t>lim</t>
    </r>
  </si>
  <si>
    <r>
      <t>EJ</t>
    </r>
    <r>
      <rPr>
        <vertAlign val="subscript"/>
        <sz val="11"/>
        <color theme="1"/>
        <rFont val="Calibri"/>
        <family val="2"/>
      </rPr>
      <t>b</t>
    </r>
  </si>
  <si>
    <r>
      <t>f</t>
    </r>
    <r>
      <rPr>
        <vertAlign val="subscript"/>
        <sz val="11"/>
        <color theme="1"/>
        <rFont val="Calibri"/>
        <family val="2"/>
      </rPr>
      <t>1</t>
    </r>
  </si>
  <si>
    <r>
      <t>w</t>
    </r>
    <r>
      <rPr>
        <i/>
        <vertAlign val="subscript"/>
        <sz val="12"/>
        <color theme="1"/>
        <rFont val="Times New Roman"/>
        <family val="1"/>
      </rPr>
      <t>lim</t>
    </r>
  </si>
  <si>
    <r>
      <t>kg/m</t>
    </r>
    <r>
      <rPr>
        <vertAlign val="superscript"/>
        <sz val="11"/>
        <color theme="1"/>
        <rFont val="Verdana"/>
        <family val="2"/>
      </rPr>
      <t>3</t>
    </r>
  </si>
  <si>
    <r>
      <t>g</t>
    </r>
    <r>
      <rPr>
        <i/>
        <vertAlign val="subscript"/>
        <sz val="10"/>
        <color theme="1"/>
        <rFont val="Times New Roman"/>
        <family val="1"/>
      </rPr>
      <t xml:space="preserve"> </t>
    </r>
    <r>
      <rPr>
        <i/>
        <sz val="10"/>
        <color theme="1"/>
        <rFont val="Times New Roman"/>
        <family val="1"/>
      </rPr>
      <t>+ q</t>
    </r>
  </si>
  <si>
    <r>
      <t>f</t>
    </r>
    <r>
      <rPr>
        <vertAlign val="subscript"/>
        <sz val="11"/>
        <color theme="1"/>
        <rFont val="Times New Roman"/>
        <family val="1"/>
      </rPr>
      <t>rs,k</t>
    </r>
  </si>
  <si>
    <r>
      <rPr>
        <i/>
        <sz val="12"/>
        <rFont val="Times New Roman"/>
        <family val="1"/>
      </rPr>
      <t>ρ</t>
    </r>
    <r>
      <rPr>
        <i/>
        <vertAlign val="subscript"/>
        <sz val="12"/>
        <rFont val="Times New Roman"/>
        <family val="1"/>
      </rPr>
      <t>k</t>
    </r>
  </si>
  <si>
    <r>
      <t>f</t>
    </r>
    <r>
      <rPr>
        <i/>
        <vertAlign val="subscript"/>
        <sz val="12"/>
        <rFont val="Times New Roman"/>
        <family val="1"/>
      </rPr>
      <t>t,0,d</t>
    </r>
  </si>
  <si>
    <r>
      <t>f</t>
    </r>
    <r>
      <rPr>
        <vertAlign val="subscript"/>
        <sz val="11"/>
        <color theme="1"/>
        <rFont val="Times New Roman"/>
        <family val="1"/>
      </rPr>
      <t>rs,d</t>
    </r>
  </si>
  <si>
    <r>
      <t>k</t>
    </r>
    <r>
      <rPr>
        <i/>
        <vertAlign val="subscript"/>
        <sz val="11"/>
        <color theme="1"/>
        <rFont val="Times New Roman"/>
        <family val="1"/>
      </rPr>
      <t>crack</t>
    </r>
  </si>
  <si>
    <r>
      <t>k</t>
    </r>
    <r>
      <rPr>
        <i/>
        <vertAlign val="subscript"/>
        <sz val="11"/>
        <rFont val="Times New Roman"/>
        <family val="1"/>
      </rPr>
      <t>mod,g+q</t>
    </r>
  </si>
  <si>
    <r>
      <t>k</t>
    </r>
    <r>
      <rPr>
        <i/>
        <vertAlign val="subscript"/>
        <sz val="11"/>
        <rFont val="Times New Roman"/>
        <family val="1"/>
      </rPr>
      <t>mod,g</t>
    </r>
  </si>
  <si>
    <t>Characteristics</t>
  </si>
  <si>
    <t>Connection stiffness</t>
  </si>
  <si>
    <t>Sharp metal type:</t>
  </si>
  <si>
    <r>
      <t>K</t>
    </r>
    <r>
      <rPr>
        <i/>
        <vertAlign val="subscript"/>
        <sz val="10"/>
        <rFont val="Times New Roman"/>
        <family val="1"/>
      </rPr>
      <t>ser</t>
    </r>
  </si>
  <si>
    <t>ELS Stiffness</t>
  </si>
  <si>
    <t>ULS Stiffness</t>
  </si>
  <si>
    <r>
      <t>R</t>
    </r>
    <r>
      <rPr>
        <i/>
        <vertAlign val="subscript"/>
        <sz val="10"/>
        <color theme="1"/>
        <rFont val="Times New Roman"/>
        <family val="1"/>
      </rPr>
      <t>d,g+q</t>
    </r>
  </si>
  <si>
    <r>
      <t>R</t>
    </r>
    <r>
      <rPr>
        <i/>
        <vertAlign val="subscript"/>
        <sz val="10"/>
        <color theme="1"/>
        <rFont val="Times New Roman"/>
        <family val="1"/>
      </rPr>
      <t>d,g</t>
    </r>
  </si>
  <si>
    <t>SHARP METAL lenght</t>
  </si>
  <si>
    <t>Connection design resistance</t>
  </si>
  <si>
    <t>Coefficients</t>
  </si>
  <si>
    <r>
      <t>e</t>
    </r>
    <r>
      <rPr>
        <vertAlign val="subscript"/>
        <sz val="10"/>
        <color theme="1"/>
        <rFont val="Verdana"/>
        <family val="2"/>
      </rPr>
      <t>min</t>
    </r>
  </si>
  <si>
    <r>
      <t>a</t>
    </r>
    <r>
      <rPr>
        <vertAlign val="subscript"/>
        <sz val="10"/>
        <color theme="1"/>
        <rFont val="Verdana"/>
        <family val="2"/>
      </rPr>
      <t>4,c,min</t>
    </r>
  </si>
  <si>
    <t>Design load</t>
  </si>
  <si>
    <t>Design load (permanent)</t>
  </si>
  <si>
    <r>
      <t>g</t>
    </r>
    <r>
      <rPr>
        <i/>
        <vertAlign val="subscript"/>
        <sz val="10"/>
        <color theme="1"/>
        <rFont val="Times New Roman"/>
        <family val="1"/>
      </rPr>
      <t>k</t>
    </r>
    <r>
      <rPr>
        <i/>
        <sz val="10"/>
        <color theme="1"/>
        <rFont val="Times New Roman"/>
        <family val="1"/>
      </rPr>
      <t xml:space="preserve"> = g</t>
    </r>
    <r>
      <rPr>
        <i/>
        <vertAlign val="subscript"/>
        <sz val="10"/>
        <color theme="1"/>
        <rFont val="Times New Roman"/>
        <family val="1"/>
      </rPr>
      <t>1,k</t>
    </r>
    <r>
      <rPr>
        <i/>
        <sz val="10"/>
        <color theme="1"/>
        <rFont val="Times New Roman"/>
        <family val="1"/>
      </rPr>
      <t xml:space="preserve"> + g</t>
    </r>
    <r>
      <rPr>
        <i/>
        <vertAlign val="subscript"/>
        <sz val="10"/>
        <color theme="1"/>
        <rFont val="Times New Roman"/>
        <family val="1"/>
      </rPr>
      <t>2,k</t>
    </r>
  </si>
  <si>
    <t>Loads and internal actions</t>
  </si>
  <si>
    <t>Bending moment</t>
  </si>
  <si>
    <t>Shear force</t>
  </si>
  <si>
    <t>ULS combinations</t>
  </si>
  <si>
    <t>Bending stiffness</t>
  </si>
  <si>
    <t>Axial stiffness</t>
  </si>
  <si>
    <t>Elements stiffness at support (t = 0)</t>
  </si>
  <si>
    <r>
      <t>J</t>
    </r>
    <r>
      <rPr>
        <i/>
        <vertAlign val="subscript"/>
        <sz val="10"/>
        <color theme="1"/>
        <rFont val="Times New Roman"/>
        <family val="1"/>
      </rPr>
      <t>eff</t>
    </r>
    <r>
      <rPr>
        <i/>
        <sz val="10"/>
        <color theme="1"/>
        <rFont val="Times New Roman"/>
        <family val="1"/>
      </rPr>
      <t>,s</t>
    </r>
  </si>
  <si>
    <r>
      <t>A</t>
    </r>
    <r>
      <rPr>
        <i/>
        <vertAlign val="subscript"/>
        <sz val="10"/>
        <color theme="1"/>
        <rFont val="Times New Roman"/>
        <family val="1"/>
      </rPr>
      <t>eff</t>
    </r>
    <r>
      <rPr>
        <i/>
        <sz val="10"/>
        <color theme="1"/>
        <rFont val="Times New Roman"/>
        <family val="1"/>
      </rPr>
      <t>,s</t>
    </r>
  </si>
  <si>
    <r>
      <t>J</t>
    </r>
    <r>
      <rPr>
        <i/>
        <vertAlign val="subscript"/>
        <sz val="10"/>
        <color theme="1"/>
        <rFont val="Times New Roman"/>
        <family val="1"/>
      </rPr>
      <t>eff</t>
    </r>
    <r>
      <rPr>
        <i/>
        <sz val="10"/>
        <color theme="1"/>
        <rFont val="Times New Roman"/>
        <family val="1"/>
      </rPr>
      <t>,ms</t>
    </r>
  </si>
  <si>
    <r>
      <t>A</t>
    </r>
    <r>
      <rPr>
        <i/>
        <vertAlign val="subscript"/>
        <sz val="10"/>
        <color theme="1"/>
        <rFont val="Times New Roman"/>
        <family val="1"/>
      </rPr>
      <t>eff</t>
    </r>
    <r>
      <rPr>
        <i/>
        <sz val="10"/>
        <color theme="1"/>
        <rFont val="Times New Roman"/>
        <family val="1"/>
      </rPr>
      <t>,ms</t>
    </r>
  </si>
  <si>
    <r>
      <t>E</t>
    </r>
    <r>
      <rPr>
        <i/>
        <vertAlign val="subscript"/>
        <sz val="10"/>
        <color theme="1"/>
        <rFont val="Times New Roman"/>
        <family val="1"/>
      </rPr>
      <t>0,mean</t>
    </r>
    <r>
      <rPr>
        <i/>
        <sz val="10"/>
        <color theme="1"/>
        <rFont val="Times New Roman"/>
        <family val="1"/>
      </rPr>
      <t>J</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1</t>
    </r>
    <r>
      <rPr>
        <i/>
        <sz val="10"/>
        <color theme="1"/>
        <rFont val="Times New Roman"/>
        <family val="1"/>
      </rPr>
      <t>J</t>
    </r>
    <r>
      <rPr>
        <i/>
        <vertAlign val="subscript"/>
        <sz val="10"/>
        <color theme="1"/>
        <rFont val="Times New Roman"/>
        <family val="1"/>
      </rPr>
      <t>1</t>
    </r>
  </si>
  <si>
    <r>
      <t>E</t>
    </r>
    <r>
      <rPr>
        <i/>
        <vertAlign val="subscript"/>
        <sz val="10"/>
        <color theme="1"/>
        <rFont val="Times New Roman"/>
        <family val="1"/>
      </rPr>
      <t>0,mean</t>
    </r>
    <r>
      <rPr>
        <i/>
        <sz val="10"/>
        <color theme="1"/>
        <rFont val="Times New Roman"/>
        <family val="1"/>
      </rPr>
      <t>A</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1</t>
    </r>
    <r>
      <rPr>
        <i/>
        <sz val="10"/>
        <color theme="1"/>
        <rFont val="Times New Roman"/>
        <family val="1"/>
      </rPr>
      <t>A</t>
    </r>
    <r>
      <rPr>
        <i/>
        <vertAlign val="subscript"/>
        <sz val="10"/>
        <color theme="1"/>
        <rFont val="Times New Roman"/>
        <family val="1"/>
      </rPr>
      <t>1</t>
    </r>
  </si>
  <si>
    <r>
      <t>E</t>
    </r>
    <r>
      <rPr>
        <i/>
        <vertAlign val="subscript"/>
        <sz val="10"/>
        <color theme="1"/>
        <rFont val="Times New Roman"/>
        <family val="1"/>
      </rPr>
      <t>0,mean</t>
    </r>
    <r>
      <rPr>
        <i/>
        <sz val="10"/>
        <color theme="1"/>
        <rFont val="Times New Roman"/>
        <family val="1"/>
      </rPr>
      <t>J</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2</t>
    </r>
    <r>
      <rPr>
        <i/>
        <sz val="10"/>
        <color theme="1"/>
        <rFont val="Times New Roman"/>
        <family val="1"/>
      </rPr>
      <t>J</t>
    </r>
    <r>
      <rPr>
        <i/>
        <vertAlign val="subscript"/>
        <sz val="10"/>
        <color theme="1"/>
        <rFont val="Times New Roman"/>
        <family val="1"/>
      </rPr>
      <t>2</t>
    </r>
  </si>
  <si>
    <r>
      <t>E</t>
    </r>
    <r>
      <rPr>
        <i/>
        <vertAlign val="subscript"/>
        <sz val="10"/>
        <color theme="1"/>
        <rFont val="Times New Roman"/>
        <family val="1"/>
      </rPr>
      <t>0,mean</t>
    </r>
    <r>
      <rPr>
        <i/>
        <sz val="10"/>
        <color theme="1"/>
        <rFont val="Times New Roman"/>
        <family val="1"/>
      </rPr>
      <t>A</t>
    </r>
    <r>
      <rPr>
        <i/>
        <vertAlign val="subscript"/>
        <sz val="10"/>
        <color theme="1"/>
        <rFont val="Times New Roman"/>
        <family val="1"/>
      </rPr>
      <t>eff,s</t>
    </r>
    <r>
      <rPr>
        <i/>
        <sz val="10"/>
        <color theme="1"/>
        <rFont val="Times New Roman"/>
        <family val="1"/>
      </rPr>
      <t xml:space="preserve"> = E</t>
    </r>
    <r>
      <rPr>
        <i/>
        <vertAlign val="subscript"/>
        <sz val="10"/>
        <color theme="1"/>
        <rFont val="Times New Roman"/>
        <family val="1"/>
      </rPr>
      <t>2</t>
    </r>
    <r>
      <rPr>
        <i/>
        <sz val="10"/>
        <color theme="1"/>
        <rFont val="Times New Roman"/>
        <family val="1"/>
      </rPr>
      <t>A</t>
    </r>
    <r>
      <rPr>
        <i/>
        <vertAlign val="subscript"/>
        <sz val="10"/>
        <color theme="1"/>
        <rFont val="Times New Roman"/>
        <family val="1"/>
      </rPr>
      <t>2</t>
    </r>
  </si>
  <si>
    <t>Rigidezza sistema composto</t>
  </si>
  <si>
    <t>Composite system stiffness</t>
  </si>
  <si>
    <t>Distance between centres of mass of (1) and (2)</t>
  </si>
  <si>
    <t>Composite bending stiffness</t>
  </si>
  <si>
    <t>Composite axial stiffness</t>
  </si>
  <si>
    <t>Composite system effective stiffness</t>
  </si>
  <si>
    <t>Composite system efficency</t>
  </si>
  <si>
    <t xml:space="preserve">80mm-3-   30 20 30   </t>
  </si>
  <si>
    <r>
      <t>a</t>
    </r>
    <r>
      <rPr>
        <i/>
        <vertAlign val="subscript"/>
        <sz val="10"/>
        <color theme="1"/>
        <rFont val="Times New Roman"/>
        <family val="1"/>
      </rPr>
      <t>1</t>
    </r>
    <r>
      <rPr>
        <i/>
        <sz val="10"/>
        <color theme="1"/>
        <rFont val="Times New Roman"/>
        <family val="1"/>
      </rPr>
      <t xml:space="preserve"> = a - a</t>
    </r>
    <r>
      <rPr>
        <i/>
        <vertAlign val="subscript"/>
        <sz val="10"/>
        <color theme="1"/>
        <rFont val="Times New Roman"/>
        <family val="1"/>
      </rPr>
      <t>2</t>
    </r>
  </si>
  <si>
    <r>
      <t>ψ</t>
    </r>
    <r>
      <rPr>
        <vertAlign val="subscript"/>
        <sz val="10"/>
        <color theme="1"/>
        <rFont val="Times New Roman"/>
        <family val="1"/>
      </rPr>
      <t>2,t=</t>
    </r>
    <r>
      <rPr>
        <vertAlign val="subscript"/>
        <sz val="10"/>
        <color theme="1"/>
        <rFont val="Verdana"/>
        <family val="2"/>
      </rPr>
      <t>∞</t>
    </r>
  </si>
  <si>
    <r>
      <t>K</t>
    </r>
    <r>
      <rPr>
        <i/>
        <vertAlign val="subscript"/>
        <sz val="11"/>
        <color theme="1"/>
        <rFont val="Times New Roman"/>
        <family val="1"/>
      </rPr>
      <t>u</t>
    </r>
  </si>
  <si>
    <r>
      <t xml:space="preserve">Elements stiffness at support at ULS [g+q] (t = </t>
    </r>
    <r>
      <rPr>
        <sz val="11"/>
        <color theme="1"/>
        <rFont val="Verdana"/>
        <family val="2"/>
      </rPr>
      <t>∞</t>
    </r>
    <r>
      <rPr>
        <sz val="11"/>
        <color theme="1"/>
        <rFont val="Calibri"/>
        <family val="2"/>
      </rPr>
      <t>)</t>
    </r>
  </si>
  <si>
    <r>
      <t xml:space="preserve">Elements stiffness at support at ULS  [g] (t = </t>
    </r>
    <r>
      <rPr>
        <sz val="11"/>
        <color theme="1"/>
        <rFont val="Verdana"/>
        <family val="2"/>
      </rPr>
      <t>∞</t>
    </r>
    <r>
      <rPr>
        <sz val="11"/>
        <color theme="1"/>
        <rFont val="Calibri"/>
        <family val="2"/>
      </rPr>
      <t>)</t>
    </r>
  </si>
  <si>
    <t>Come indicato nella versione tedesca della scheda tecnica SHARP METAL, VGU non è disponibile sul mercato tedesco, dove SHARP METAL può essere venduto solo in combinazione con VGU DE.
Le presenti condizioni generali costituiscono l'intero accordo tra RB e l'utente in merito all'oggetto e sostituiscono tutti i precedenti accordi, orali o scritti, nonché qualsiasi accordo tra RB e l'utente.</t>
  </si>
  <si>
    <t>Wie in der deutschen Version des technischen Datenblatts von SHARP METAL angegeben, ist VGU auf dem deutschen Markt nicht verfügbar; dort kann SHARP METAL nur in Kombination mit VGU DE verkauft werden.
Diese allgemeinen Bedingungen stellen die gesamte Vereinbarung zwischen RB und dem Nutzer in Bezug auf den Vertragsgegenstand dar und ersetzen alle früheren mündlichen oder schriftlichen Vereinbarungen sowie sämtliche Absprachen zwischen RB und dem Nutzer.</t>
  </si>
  <si>
    <t>Comme indiqué dans la version allemande de la fiche technique SHARP METAL, VGU n'est pas disponible sur le marché allemand, où SHARP METAL ne peut être vendu qu'en combinaison avec VGU DE.
Les présentes conditions générales constituent l'intégralité de l'accord entre RB et l'utilisateur concernant l'objet du présent document et remplacent tous les accords antérieurs, oraux ou écrits, ainsi que tout accord entre RB et l'utilisateur.</t>
  </si>
  <si>
    <t>Tal como se indica en la versión alemana de la ficha técnica de SHARP METAL, VGU no está disponible en el mercado alemán, donde SHARP METAL solo puede venderse en combinación con VGU DE.
Estas condiciones generales constituyen el acuerdo íntegro entre RB y el usuario en relación con el objeto del mismo y sustituyen todos los acuerdos anteriores, orales o escritos, así como cualquier acuerdo entre RB y el usuario.</t>
  </si>
  <si>
    <t>These general conditions constitute the entire agreement between RB and the user regarding the subject matter and replace all previous, oral or written agreements, as well as any agreements between RB and the user.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</si>
</sst>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
    <numFmt numFmtId="166" formatCode="0.E+00"/>
    <numFmt numFmtId="167" formatCode="0.0000"/>
    <numFmt numFmtId="168" formatCode="0.00000"/>
    <numFmt numFmtId="169" formatCode="0.000000"/>
    <numFmt numFmtId="170" formatCode="0.00000000"/>
    <numFmt numFmtId="171" formatCode="0.00000E+00"/>
    <numFmt numFmtId="172" formatCode="0.0000E+00"/>
    <numFmt numFmtId="173" formatCode="0.0%"/>
    <numFmt numFmtId="174" formatCode="0.000E+00"/>
    <numFmt numFmtId="175" formatCode="[$-809]dd/mm/yyyy"/>
    <numFmt numFmtId="176" formatCode="0.0E+00"/>
  </numFmts>
  <fonts count="116" x14ac:knownFonts="1">
    <font>
      <sz val="11"/>
      <color theme="1"/>
      <name val="Calibri"/>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name val="Arial"/>
      <family val="2"/>
    </font>
    <font>
      <sz val="10"/>
      <name val="Arial"/>
      <family val="2"/>
    </font>
    <font>
      <b/>
      <sz val="16"/>
      <name val="Arial"/>
      <family val="2"/>
    </font>
    <font>
      <b/>
      <sz val="12"/>
      <name val="Arial"/>
      <family val="2"/>
    </font>
    <font>
      <b/>
      <vertAlign val="superscript"/>
      <sz val="12"/>
      <name val="Arial"/>
      <family val="2"/>
    </font>
    <font>
      <b/>
      <i/>
      <sz val="16"/>
      <name val="Arial"/>
      <family val="2"/>
    </font>
    <font>
      <i/>
      <sz val="12"/>
      <name val="Times New Roman"/>
      <family val="1"/>
    </font>
    <font>
      <i/>
      <vertAlign val="subscript"/>
      <sz val="12"/>
      <name val="Times New Roman"/>
      <family val="1"/>
    </font>
    <font>
      <b/>
      <i/>
      <sz val="10"/>
      <name val="Arial"/>
      <family val="2"/>
    </font>
    <font>
      <vertAlign val="superscript"/>
      <sz val="10"/>
      <name val="Arial"/>
      <family val="2"/>
    </font>
    <font>
      <b/>
      <sz val="10"/>
      <name val="Arial"/>
      <family val="2"/>
    </font>
    <font>
      <sz val="10"/>
      <name val="Verdana"/>
      <family val="2"/>
    </font>
    <font>
      <i/>
      <sz val="11"/>
      <name val="Arial"/>
      <family val="2"/>
    </font>
    <font>
      <sz val="12"/>
      <name val="Arial"/>
      <family val="2"/>
    </font>
    <font>
      <b/>
      <vertAlign val="superscript"/>
      <sz val="10"/>
      <name val="Arial"/>
      <family val="2"/>
    </font>
    <font>
      <i/>
      <sz val="12"/>
      <name val="Calibri"/>
      <family val="2"/>
    </font>
    <font>
      <sz val="12"/>
      <name val="Times New Roman"/>
      <family val="1"/>
    </font>
    <font>
      <i/>
      <sz val="10"/>
      <name val="Arial"/>
      <family val="2"/>
    </font>
    <font>
      <sz val="11"/>
      <name val="Times New Roman"/>
      <family val="1"/>
    </font>
    <font>
      <b/>
      <i/>
      <sz val="12"/>
      <name val="Arial"/>
      <family val="2"/>
    </font>
    <font>
      <b/>
      <i/>
      <sz val="14"/>
      <name val="Arial"/>
      <family val="2"/>
    </font>
    <font>
      <i/>
      <sz val="11"/>
      <name val="Times New Roman"/>
      <family val="1"/>
    </font>
    <font>
      <vertAlign val="subscript"/>
      <sz val="10"/>
      <name val="Arial"/>
      <family val="2"/>
    </font>
    <font>
      <b/>
      <sz val="14"/>
      <name val="Arial"/>
      <family val="2"/>
    </font>
    <font>
      <sz val="10"/>
      <name val="Symbol"/>
      <family val="1"/>
      <charset val="2"/>
    </font>
    <font>
      <b/>
      <sz val="10"/>
      <color rgb="FFFF0000"/>
      <name val="Arial"/>
      <family val="2"/>
    </font>
    <font>
      <i/>
      <sz val="12"/>
      <color theme="1"/>
      <name val="Times New Roman"/>
      <family val="1"/>
    </font>
    <font>
      <sz val="11"/>
      <color theme="1"/>
      <name val="Calibri"/>
      <family val="2"/>
    </font>
    <font>
      <vertAlign val="subscript"/>
      <sz val="12"/>
      <name val="Times New Roman"/>
      <family val="1"/>
    </font>
    <font>
      <i/>
      <sz val="14"/>
      <name val="Times New Roman"/>
      <family val="1"/>
    </font>
    <font>
      <sz val="10"/>
      <name val="Calibri"/>
      <family val="2"/>
    </font>
    <font>
      <i/>
      <sz val="11"/>
      <color rgb="FFFF0000"/>
      <name val="Times New Roman"/>
      <family val="1"/>
    </font>
    <font>
      <sz val="11"/>
      <color theme="1"/>
      <name val="Calibri"/>
      <family val="2"/>
      <scheme val="minor"/>
    </font>
    <font>
      <b/>
      <sz val="11"/>
      <color theme="1"/>
      <name val="Calibri"/>
      <family val="2"/>
      <scheme val="minor"/>
    </font>
    <font>
      <sz val="10"/>
      <color theme="1"/>
      <name val="Calibri"/>
      <family val="2"/>
      <scheme val="minor"/>
    </font>
    <font>
      <b/>
      <sz val="12"/>
      <color theme="9" tint="-0.249977111117893"/>
      <name val="Calibri"/>
      <family val="2"/>
      <scheme val="minor"/>
    </font>
    <font>
      <sz val="11"/>
      <color theme="1"/>
      <name val="Verdana"/>
      <family val="2"/>
    </font>
    <font>
      <i/>
      <sz val="11"/>
      <color theme="0" tint="-0.34998626667073579"/>
      <name val="Arial Narrow"/>
      <family val="2"/>
    </font>
    <font>
      <b/>
      <sz val="12"/>
      <color theme="1"/>
      <name val="Calibri"/>
      <family val="2"/>
      <scheme val="minor"/>
    </font>
    <font>
      <b/>
      <sz val="11"/>
      <color rgb="FFFF0000"/>
      <name val="Arial Narrow"/>
      <family val="2"/>
    </font>
    <font>
      <sz val="11"/>
      <color theme="1"/>
      <name val="Arial Narrow"/>
      <family val="2"/>
    </font>
    <font>
      <b/>
      <sz val="14"/>
      <color rgb="FFC00000"/>
      <name val="Calibri"/>
      <family val="2"/>
      <scheme val="minor"/>
    </font>
    <font>
      <sz val="12"/>
      <color theme="0" tint="-0.499984740745262"/>
      <name val="Calibri"/>
      <family val="2"/>
      <scheme val="minor"/>
    </font>
    <font>
      <sz val="14"/>
      <color theme="1"/>
      <name val="Calibri"/>
      <family val="2"/>
      <scheme val="minor"/>
    </font>
    <font>
      <sz val="10"/>
      <color theme="0" tint="-0.499984740745262"/>
      <name val="Calibri"/>
      <family val="2"/>
      <scheme val="minor"/>
    </font>
    <font>
      <b/>
      <vertAlign val="superscript"/>
      <sz val="11"/>
      <color theme="1"/>
      <name val="Calibri"/>
      <family val="2"/>
      <scheme val="minor"/>
    </font>
    <font>
      <b/>
      <vertAlign val="subscript"/>
      <sz val="11"/>
      <color theme="1"/>
      <name val="Calibri"/>
      <family val="2"/>
      <scheme val="minor"/>
    </font>
    <font>
      <b/>
      <sz val="11"/>
      <color rgb="FFFF0000"/>
      <name val="Calibri"/>
      <family val="2"/>
      <scheme val="minor"/>
    </font>
    <font>
      <b/>
      <vertAlign val="subscript"/>
      <sz val="11"/>
      <color rgb="FFFF0000"/>
      <name val="Calibri"/>
      <family val="2"/>
      <scheme val="minor"/>
    </font>
    <font>
      <b/>
      <sz val="11"/>
      <color theme="1"/>
      <name val="Calibri"/>
      <family val="2"/>
    </font>
    <font>
      <i/>
      <sz val="11"/>
      <color theme="1"/>
      <name val="Calibri"/>
      <family val="2"/>
      <scheme val="minor"/>
    </font>
    <font>
      <vertAlign val="subscript"/>
      <sz val="11"/>
      <color theme="1"/>
      <name val="Calibri"/>
      <family val="2"/>
      <scheme val="minor"/>
    </font>
    <font>
      <sz val="12"/>
      <color theme="1"/>
      <name val="Calibri"/>
      <family val="2"/>
      <scheme val="minor"/>
    </font>
    <font>
      <sz val="11"/>
      <color theme="1"/>
      <name val="Aptos Narrow"/>
      <family val="2"/>
    </font>
    <font>
      <b/>
      <sz val="11"/>
      <color theme="3"/>
      <name val="Verdana"/>
      <family val="2"/>
    </font>
    <font>
      <sz val="10"/>
      <color theme="0"/>
      <name val="Verdana"/>
      <family val="2"/>
    </font>
    <font>
      <u/>
      <sz val="11"/>
      <color theme="10"/>
      <name val="Calibri"/>
      <family val="2"/>
      <scheme val="minor"/>
    </font>
    <font>
      <b/>
      <sz val="10"/>
      <name val="Verdana"/>
      <family val="2"/>
    </font>
    <font>
      <b/>
      <sz val="13"/>
      <color theme="0"/>
      <name val="Verdana"/>
      <family val="2"/>
    </font>
    <font>
      <b/>
      <sz val="14"/>
      <color theme="0"/>
      <name val="Verdana"/>
      <family val="2"/>
    </font>
    <font>
      <b/>
      <sz val="11"/>
      <color theme="1"/>
      <name val="Verdana"/>
      <family val="2"/>
    </font>
    <font>
      <b/>
      <u/>
      <sz val="14"/>
      <color theme="0"/>
      <name val="Verdana"/>
      <family val="2"/>
    </font>
    <font>
      <b/>
      <sz val="12"/>
      <color theme="1"/>
      <name val="Verdana"/>
      <family val="2"/>
    </font>
    <font>
      <vertAlign val="superscript"/>
      <sz val="11"/>
      <color theme="1"/>
      <name val="Calibri"/>
      <family val="2"/>
      <scheme val="minor"/>
    </font>
    <font>
      <b/>
      <sz val="10"/>
      <color theme="1"/>
      <name val="Verdana"/>
      <family val="2"/>
    </font>
    <font>
      <vertAlign val="subscript"/>
      <sz val="15.95"/>
      <color theme="1"/>
      <name val="Calibri"/>
      <family val="2"/>
    </font>
    <font>
      <b/>
      <sz val="13"/>
      <color theme="3"/>
      <name val="Verdana"/>
      <family val="2"/>
    </font>
    <font>
      <sz val="8"/>
      <name val="Calibri"/>
      <family val="2"/>
      <scheme val="minor"/>
    </font>
    <font>
      <b/>
      <sz val="10"/>
      <color rgb="FF3F3F3F"/>
      <name val="Verdana"/>
      <family val="2"/>
    </font>
    <font>
      <vertAlign val="subscript"/>
      <sz val="10"/>
      <name val="Verdana"/>
      <family val="2"/>
    </font>
    <font>
      <i/>
      <sz val="12"/>
      <name val="Times New Roman"/>
      <family val="2"/>
    </font>
    <font>
      <vertAlign val="subscript"/>
      <sz val="12"/>
      <color theme="0" tint="-0.499984740745262"/>
      <name val="Calibri"/>
      <family val="2"/>
      <scheme val="minor"/>
    </font>
    <font>
      <i/>
      <vertAlign val="subscript"/>
      <sz val="12"/>
      <color theme="1"/>
      <name val="Times New Roman"/>
      <family val="1"/>
    </font>
    <font>
      <sz val="10"/>
      <color rgb="FF9C5700"/>
      <name val="Verdana"/>
      <family val="2"/>
    </font>
    <font>
      <b/>
      <sz val="25"/>
      <color theme="1"/>
      <name val="Verdana"/>
      <family val="2"/>
    </font>
    <font>
      <b/>
      <sz val="12"/>
      <name val="Verdana"/>
      <family val="2"/>
    </font>
    <font>
      <i/>
      <vertAlign val="subscript"/>
      <sz val="12"/>
      <name val="Verdana"/>
      <family val="2"/>
    </font>
    <font>
      <i/>
      <sz val="12"/>
      <name val="Verdana"/>
      <family val="2"/>
    </font>
    <font>
      <vertAlign val="superscript"/>
      <sz val="10"/>
      <name val="Verdana"/>
      <family val="2"/>
    </font>
    <font>
      <b/>
      <sz val="14"/>
      <name val="Verdana"/>
      <family val="2"/>
    </font>
    <font>
      <vertAlign val="subscript"/>
      <sz val="12"/>
      <name val="Verdana"/>
      <family val="2"/>
    </font>
    <font>
      <i/>
      <vertAlign val="subscript"/>
      <sz val="10"/>
      <name val="Verdana"/>
      <family val="2"/>
    </font>
    <font>
      <sz val="9"/>
      <color theme="1"/>
      <name val="Verdana"/>
      <family val="2"/>
    </font>
    <font>
      <sz val="12"/>
      <color theme="1"/>
      <name val="Verdana"/>
      <family val="2"/>
    </font>
    <font>
      <sz val="8"/>
      <color theme="1"/>
      <name val="Verdana"/>
      <family val="2"/>
    </font>
    <font>
      <b/>
      <sz val="9"/>
      <color theme="1"/>
      <name val="Verdana"/>
      <family val="2"/>
    </font>
    <font>
      <sz val="10"/>
      <color theme="1"/>
      <name val="Calibri"/>
      <family val="2"/>
    </font>
    <font>
      <vertAlign val="subscrip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Times New Roman"/>
      <family val="1"/>
    </font>
    <font>
      <i/>
      <vertAlign val="subscript"/>
      <sz val="10"/>
      <color theme="1"/>
      <name val="Times New Roman"/>
      <family val="1"/>
    </font>
    <font>
      <vertAlign val="superscript"/>
      <sz val="10"/>
      <color theme="1"/>
      <name val="Verdana"/>
      <family val="2"/>
    </font>
    <font>
      <sz val="11"/>
      <color theme="1"/>
      <name val="Times New Roman"/>
      <family val="1"/>
    </font>
    <font>
      <i/>
      <sz val="11"/>
      <color theme="1"/>
      <name val="Times New Roman"/>
      <family val="1"/>
    </font>
    <font>
      <i/>
      <vertAlign val="subscript"/>
      <sz val="11"/>
      <color theme="1"/>
      <name val="Times New Roman"/>
      <family val="1"/>
    </font>
    <font>
      <vertAlign val="subscript"/>
      <sz val="11"/>
      <color theme="1"/>
      <name val="Calibri"/>
      <family val="2"/>
    </font>
    <font>
      <vertAlign val="subscript"/>
      <sz val="11"/>
      <color theme="1"/>
      <name val="Times New Roman"/>
      <family val="1"/>
    </font>
    <font>
      <vertAlign val="superscript"/>
      <sz val="11"/>
      <color theme="1"/>
      <name val="Verdana"/>
      <family val="2"/>
    </font>
    <font>
      <i/>
      <vertAlign val="subscript"/>
      <sz val="11"/>
      <name val="Times New Roman"/>
      <family val="1"/>
    </font>
    <font>
      <i/>
      <vertAlign val="subscript"/>
      <sz val="10"/>
      <name val="Times New Roman"/>
      <family val="1"/>
    </font>
    <font>
      <sz val="11"/>
      <color theme="0"/>
      <name val="Verdana"/>
      <family val="2"/>
    </font>
    <font>
      <vertAlign val="subscript"/>
      <sz val="10"/>
      <color theme="1"/>
      <name val="Verdana"/>
      <family val="2"/>
    </font>
    <font>
      <sz val="10"/>
      <color theme="0"/>
      <name val="Times New Roman"/>
      <family val="1"/>
    </font>
    <font>
      <b/>
      <i/>
      <sz val="10"/>
      <color theme="0"/>
      <name val="Times New Roman"/>
      <family val="1"/>
    </font>
    <font>
      <vertAlign val="subscript"/>
      <sz val="10"/>
      <color theme="1"/>
      <name val="Times New Roman"/>
      <family val="1"/>
    </font>
    <font>
      <sz val="10"/>
      <color theme="1"/>
      <name val="Times New Roman"/>
      <family val="1"/>
    </font>
  </fonts>
  <fills count="1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CCCCFF"/>
        <bgColor indexed="64"/>
      </patternFill>
    </fill>
    <fill>
      <patternFill patternType="solid">
        <fgColor theme="9" tint="0.79998168889431442"/>
        <bgColor indexed="64"/>
      </patternFill>
    </fill>
    <fill>
      <patternFill patternType="solid">
        <fgColor theme="0"/>
        <bgColor rgb="FF000000"/>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1"/>
        <bgColor indexed="64"/>
      </patternFill>
    </fill>
    <fill>
      <patternFill patternType="solid">
        <fgColor rgb="FFF2F2F2"/>
      </patternFill>
    </fill>
    <fill>
      <patternFill patternType="solid">
        <fgColor rgb="FFFFEB9C"/>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theme="4" tint="0.39997558519241921"/>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style="thick">
        <color theme="0"/>
      </top>
      <bottom style="thick">
        <color theme="0"/>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top/>
      <bottom/>
      <diagonal/>
    </border>
    <border>
      <left/>
      <right style="thick">
        <color theme="0"/>
      </right>
      <top/>
      <bottom/>
      <diagonal/>
    </border>
    <border>
      <left/>
      <right/>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s>
  <cellStyleXfs count="9">
    <xf numFmtId="0" fontId="0" fillId="0" borderId="0"/>
    <xf numFmtId="0" fontId="10" fillId="0" borderId="0"/>
    <xf numFmtId="0" fontId="41" fillId="0" borderId="0"/>
    <xf numFmtId="0" fontId="63" fillId="0" borderId="23" applyNumberFormat="0" applyFill="0" applyAlignment="0" applyProtection="0"/>
    <xf numFmtId="0" fontId="65" fillId="0" borderId="0" applyNumberFormat="0" applyFill="0" applyBorder="0" applyAlignment="0" applyProtection="0"/>
    <xf numFmtId="0" fontId="75" fillId="0" borderId="34" applyNumberFormat="0" applyFill="0" applyAlignment="0" applyProtection="0"/>
    <xf numFmtId="0" fontId="77" fillId="12" borderId="35" applyNumberFormat="0" applyAlignment="0" applyProtection="0"/>
    <xf numFmtId="0" fontId="82" fillId="13" borderId="0" applyNumberFormat="0" applyBorder="0" applyAlignment="0" applyProtection="0"/>
    <xf numFmtId="9" fontId="36" fillId="0" borderId="0" applyFont="0" applyFill="0" applyBorder="0" applyAlignment="0" applyProtection="0"/>
  </cellStyleXfs>
  <cellXfs count="417">
    <xf numFmtId="0" fontId="0" fillId="0" borderId="0" xfId="0"/>
    <xf numFmtId="0" fontId="10" fillId="0" borderId="0" xfId="1" applyProtection="1">
      <protection hidden="1"/>
    </xf>
    <xf numFmtId="0" fontId="12" fillId="0" borderId="0" xfId="1" applyFont="1" applyAlignment="1" applyProtection="1">
      <alignment horizontal="center" vertical="top"/>
      <protection hidden="1"/>
    </xf>
    <xf numFmtId="0" fontId="14" fillId="0" borderId="0" xfId="1" applyFont="1" applyAlignment="1" applyProtection="1">
      <alignment horizontal="center"/>
      <protection hidden="1"/>
    </xf>
    <xf numFmtId="0" fontId="15" fillId="0" borderId="0" xfId="1" applyFont="1" applyAlignment="1" applyProtection="1">
      <alignment horizontal="center"/>
      <protection hidden="1"/>
    </xf>
    <xf numFmtId="0" fontId="15" fillId="0" borderId="0" xfId="1" applyFont="1" applyAlignment="1" applyProtection="1">
      <alignment horizontal="right"/>
      <protection hidden="1"/>
    </xf>
    <xf numFmtId="0" fontId="10" fillId="0" borderId="0" xfId="1" applyAlignment="1" applyProtection="1">
      <alignment horizontal="center"/>
      <protection hidden="1"/>
    </xf>
    <xf numFmtId="0" fontId="19" fillId="0" borderId="0" xfId="1" applyFont="1" applyAlignment="1" applyProtection="1">
      <alignment horizontal="center"/>
      <protection hidden="1"/>
    </xf>
    <xf numFmtId="0" fontId="10" fillId="4" borderId="0" xfId="1" applyFill="1" applyAlignment="1" applyProtection="1">
      <alignment horizontal="center"/>
      <protection locked="0" hidden="1"/>
    </xf>
    <xf numFmtId="0" fontId="20" fillId="0" borderId="0" xfId="1" applyFont="1" applyProtection="1">
      <protection hidden="1"/>
    </xf>
    <xf numFmtId="0" fontId="34" fillId="5" borderId="0" xfId="1" applyFont="1" applyFill="1" applyProtection="1">
      <protection hidden="1"/>
    </xf>
    <xf numFmtId="0" fontId="21" fillId="0" borderId="0" xfId="1" applyFont="1" applyAlignment="1" applyProtection="1">
      <alignment horizontal="center"/>
      <protection hidden="1"/>
    </xf>
    <xf numFmtId="2" fontId="10" fillId="0" borderId="0" xfId="1" applyNumberFormat="1" applyAlignment="1" applyProtection="1">
      <alignment horizontal="center"/>
      <protection hidden="1"/>
    </xf>
    <xf numFmtId="0" fontId="19" fillId="0" borderId="0" xfId="1" applyFont="1" applyAlignment="1" applyProtection="1">
      <alignment horizontal="left"/>
      <protection hidden="1"/>
    </xf>
    <xf numFmtId="0" fontId="10" fillId="4" borderId="11" xfId="1" applyFill="1" applyBorder="1" applyProtection="1">
      <protection hidden="1"/>
    </xf>
    <xf numFmtId="0" fontId="15" fillId="4" borderId="11" xfId="1" applyFont="1" applyFill="1" applyBorder="1" applyAlignment="1" applyProtection="1">
      <alignment horizontal="center"/>
      <protection hidden="1"/>
    </xf>
    <xf numFmtId="164" fontId="10" fillId="4" borderId="12" xfId="1" applyNumberFormat="1" applyFill="1" applyBorder="1" applyAlignment="1" applyProtection="1">
      <alignment horizontal="center"/>
      <protection hidden="1"/>
    </xf>
    <xf numFmtId="0" fontId="10" fillId="4" borderId="0" xfId="1" applyFill="1" applyProtection="1">
      <protection hidden="1"/>
    </xf>
    <xf numFmtId="0" fontId="10" fillId="4" borderId="4" xfId="1" applyFill="1" applyBorder="1" applyProtection="1">
      <protection hidden="1"/>
    </xf>
    <xf numFmtId="0" fontId="15" fillId="4" borderId="4" xfId="1" applyFont="1" applyFill="1" applyBorder="1" applyAlignment="1" applyProtection="1">
      <alignment horizontal="center"/>
      <protection hidden="1"/>
    </xf>
    <xf numFmtId="164" fontId="10" fillId="4" borderId="13" xfId="1" applyNumberFormat="1" applyFill="1" applyBorder="1" applyAlignment="1" applyProtection="1">
      <alignment horizontal="center"/>
      <protection hidden="1"/>
    </xf>
    <xf numFmtId="0" fontId="10" fillId="4" borderId="12" xfId="1" applyFill="1" applyBorder="1" applyProtection="1">
      <protection hidden="1"/>
    </xf>
    <xf numFmtId="0" fontId="15" fillId="4" borderId="12" xfId="1" applyFont="1" applyFill="1" applyBorder="1" applyAlignment="1" applyProtection="1">
      <alignment horizontal="center"/>
      <protection hidden="1"/>
    </xf>
    <xf numFmtId="164" fontId="10" fillId="4" borderId="11" xfId="1" applyNumberFormat="1" applyFill="1" applyBorder="1" applyAlignment="1" applyProtection="1">
      <alignment horizontal="center"/>
      <protection hidden="1"/>
    </xf>
    <xf numFmtId="0" fontId="19" fillId="4" borderId="0" xfId="1" applyFont="1" applyFill="1" applyProtection="1">
      <protection hidden="1"/>
    </xf>
    <xf numFmtId="0" fontId="15" fillId="4" borderId="14" xfId="1" applyFont="1" applyFill="1" applyBorder="1" applyAlignment="1" applyProtection="1">
      <alignment horizontal="center"/>
      <protection hidden="1"/>
    </xf>
    <xf numFmtId="0" fontId="22" fillId="4" borderId="0" xfId="1" applyFont="1" applyFill="1" applyProtection="1">
      <protection hidden="1"/>
    </xf>
    <xf numFmtId="0" fontId="22" fillId="4" borderId="0" xfId="1" applyFont="1" applyFill="1" applyAlignment="1" applyProtection="1">
      <alignment horizontal="center"/>
      <protection hidden="1"/>
    </xf>
    <xf numFmtId="0" fontId="15" fillId="4" borderId="1" xfId="1" applyFont="1" applyFill="1" applyBorder="1" applyAlignment="1" applyProtection="1">
      <alignment horizontal="center"/>
      <protection hidden="1"/>
    </xf>
    <xf numFmtId="0" fontId="10" fillId="4" borderId="13" xfId="1" applyFill="1" applyBorder="1" applyAlignment="1" applyProtection="1">
      <alignment horizontal="center"/>
      <protection hidden="1"/>
    </xf>
    <xf numFmtId="0" fontId="15" fillId="4" borderId="15" xfId="1" applyFont="1" applyFill="1" applyBorder="1" applyAlignment="1" applyProtection="1">
      <alignment horizontal="center"/>
      <protection hidden="1"/>
    </xf>
    <xf numFmtId="1" fontId="10" fillId="4" borderId="11" xfId="1" applyNumberFormat="1" applyFill="1" applyBorder="1" applyAlignment="1" applyProtection="1">
      <alignment horizontal="center"/>
      <protection hidden="1"/>
    </xf>
    <xf numFmtId="0" fontId="19" fillId="4" borderId="0" xfId="1" applyFont="1" applyFill="1" applyAlignment="1" applyProtection="1">
      <alignment horizontal="center"/>
      <protection hidden="1"/>
    </xf>
    <xf numFmtId="0" fontId="15" fillId="0" borderId="4" xfId="1" applyFont="1" applyBorder="1" applyAlignment="1" applyProtection="1">
      <alignment horizontal="center"/>
      <protection hidden="1"/>
    </xf>
    <xf numFmtId="0" fontId="10" fillId="4" borderId="4" xfId="1" applyFill="1" applyBorder="1" applyAlignment="1" applyProtection="1">
      <alignment horizontal="center"/>
      <protection hidden="1"/>
    </xf>
    <xf numFmtId="164" fontId="10" fillId="0" borderId="12" xfId="1" applyNumberFormat="1" applyBorder="1" applyAlignment="1" applyProtection="1">
      <alignment horizontal="center"/>
      <protection hidden="1"/>
    </xf>
    <xf numFmtId="0" fontId="10" fillId="0" borderId="4" xfId="1" applyBorder="1" applyProtection="1">
      <protection hidden="1"/>
    </xf>
    <xf numFmtId="164" fontId="10" fillId="0" borderId="13" xfId="1" applyNumberFormat="1" applyBorder="1" applyAlignment="1" applyProtection="1">
      <alignment horizontal="center"/>
      <protection hidden="1"/>
    </xf>
    <xf numFmtId="164" fontId="10" fillId="0" borderId="11" xfId="1" applyNumberFormat="1" applyBorder="1" applyAlignment="1" applyProtection="1">
      <alignment horizontal="center"/>
      <protection hidden="1"/>
    </xf>
    <xf numFmtId="0" fontId="19" fillId="0" borderId="0" xfId="1" applyFont="1" applyProtection="1">
      <protection hidden="1"/>
    </xf>
    <xf numFmtId="0" fontId="22" fillId="0" borderId="0" xfId="1" applyFont="1" applyProtection="1">
      <protection hidden="1"/>
    </xf>
    <xf numFmtId="0" fontId="22" fillId="0" borderId="0" xfId="1" applyFont="1" applyAlignment="1" applyProtection="1">
      <alignment horizontal="center"/>
      <protection hidden="1"/>
    </xf>
    <xf numFmtId="0" fontId="34" fillId="5" borderId="0" xfId="1" applyFont="1" applyFill="1" applyProtection="1">
      <protection locked="0" hidden="1"/>
    </xf>
    <xf numFmtId="0" fontId="10" fillId="0" borderId="0" xfId="1" applyAlignment="1" applyProtection="1">
      <alignment horizontal="right"/>
      <protection hidden="1"/>
    </xf>
    <xf numFmtId="0" fontId="25" fillId="0" borderId="0" xfId="1" applyFont="1" applyProtection="1">
      <protection hidden="1"/>
    </xf>
    <xf numFmtId="0" fontId="10" fillId="0" borderId="0" xfId="1" applyAlignment="1" applyProtection="1">
      <alignment horizontal="left"/>
      <protection hidden="1"/>
    </xf>
    <xf numFmtId="0" fontId="17" fillId="0" borderId="0" xfId="1" applyFont="1" applyAlignment="1" applyProtection="1">
      <alignment horizontal="center"/>
      <protection hidden="1"/>
    </xf>
    <xf numFmtId="1" fontId="10" fillId="0" borderId="0" xfId="1" applyNumberFormat="1" applyAlignment="1" applyProtection="1">
      <alignment horizontal="center"/>
      <protection hidden="1"/>
    </xf>
    <xf numFmtId="0" fontId="15" fillId="0" borderId="0" xfId="1" applyFont="1" applyProtection="1">
      <protection hidden="1"/>
    </xf>
    <xf numFmtId="0" fontId="26" fillId="0" borderId="0" xfId="1" applyFont="1" applyProtection="1">
      <protection hidden="1"/>
    </xf>
    <xf numFmtId="164" fontId="10" fillId="0" borderId="0" xfId="1" applyNumberFormat="1" applyProtection="1">
      <protection hidden="1"/>
    </xf>
    <xf numFmtId="0" fontId="25" fillId="0" borderId="0" xfId="1" applyFont="1" applyAlignment="1" applyProtection="1">
      <alignment horizontal="center" vertical="top"/>
      <protection hidden="1"/>
    </xf>
    <xf numFmtId="0" fontId="27" fillId="0" borderId="0" xfId="1" applyFont="1" applyProtection="1">
      <protection hidden="1"/>
    </xf>
    <xf numFmtId="0" fontId="22" fillId="0" borderId="0" xfId="1" applyFont="1" applyAlignment="1" applyProtection="1">
      <alignment vertical="center"/>
      <protection hidden="1"/>
    </xf>
    <xf numFmtId="0" fontId="22" fillId="0" borderId="0" xfId="1" applyFont="1" applyAlignment="1" applyProtection="1">
      <alignment horizontal="center" vertical="center"/>
      <protection hidden="1"/>
    </xf>
    <xf numFmtId="164" fontId="10" fillId="0" borderId="0" xfId="1" applyNumberFormat="1" applyAlignment="1" applyProtection="1">
      <alignment horizontal="center" vertical="center"/>
      <protection hidden="1"/>
    </xf>
    <xf numFmtId="0" fontId="10" fillId="0" borderId="0" xfId="1" applyAlignment="1" applyProtection="1">
      <alignment horizontal="center" vertical="center"/>
      <protection hidden="1"/>
    </xf>
    <xf numFmtId="0" fontId="22" fillId="0" borderId="0" xfId="1" applyFont="1" applyAlignment="1" applyProtection="1">
      <alignment horizontal="center" vertical="top"/>
      <protection hidden="1"/>
    </xf>
    <xf numFmtId="2" fontId="10" fillId="0" borderId="0" xfId="1" applyNumberFormat="1" applyAlignment="1" applyProtection="1">
      <alignment horizontal="center" vertical="center"/>
      <protection hidden="1"/>
    </xf>
    <xf numFmtId="0" fontId="22" fillId="0" borderId="0" xfId="1" applyFont="1" applyAlignment="1" applyProtection="1">
      <alignment horizontal="right" vertical="center"/>
      <protection hidden="1"/>
    </xf>
    <xf numFmtId="164" fontId="22" fillId="0" borderId="0" xfId="1" applyNumberFormat="1" applyFont="1" applyAlignment="1" applyProtection="1">
      <alignment horizontal="center" vertical="center"/>
      <protection hidden="1"/>
    </xf>
    <xf numFmtId="0" fontId="17" fillId="0" borderId="0" xfId="1" applyFont="1" applyProtection="1">
      <protection hidden="1"/>
    </xf>
    <xf numFmtId="11" fontId="10" fillId="0" borderId="0" xfId="1" applyNumberFormat="1" applyAlignment="1" applyProtection="1">
      <alignment horizontal="center"/>
      <protection hidden="1"/>
    </xf>
    <xf numFmtId="166" fontId="10" fillId="0" borderId="0" xfId="1" applyNumberFormat="1" applyAlignment="1" applyProtection="1">
      <alignment horizontal="center"/>
      <protection hidden="1"/>
    </xf>
    <xf numFmtId="165" fontId="10" fillId="0" borderId="0" xfId="1" applyNumberFormat="1" applyAlignment="1" applyProtection="1">
      <alignment horizontal="center"/>
      <protection hidden="1"/>
    </xf>
    <xf numFmtId="164" fontId="10" fillId="0" borderId="0" xfId="1" applyNumberFormat="1" applyAlignment="1" applyProtection="1">
      <alignment horizontal="center"/>
      <protection hidden="1"/>
    </xf>
    <xf numFmtId="0" fontId="29" fillId="0" borderId="0" xfId="1" applyFont="1" applyAlignment="1" applyProtection="1">
      <alignment horizontal="center"/>
      <protection hidden="1"/>
    </xf>
    <xf numFmtId="0" fontId="10" fillId="0" borderId="0" xfId="1" applyAlignment="1" applyProtection="1">
      <alignment horizontal="center" wrapText="1"/>
      <protection hidden="1"/>
    </xf>
    <xf numFmtId="0" fontId="10" fillId="0" borderId="0" xfId="1" applyAlignment="1" applyProtection="1">
      <alignment wrapText="1"/>
      <protection hidden="1"/>
    </xf>
    <xf numFmtId="11" fontId="10" fillId="0" borderId="0" xfId="1" applyNumberFormat="1" applyProtection="1">
      <protection hidden="1"/>
    </xf>
    <xf numFmtId="2" fontId="10" fillId="0" borderId="0" xfId="1" applyNumberFormat="1" applyProtection="1">
      <protection hidden="1"/>
    </xf>
    <xf numFmtId="0" fontId="34" fillId="0" borderId="0" xfId="1" applyFont="1" applyProtection="1">
      <protection hidden="1"/>
    </xf>
    <xf numFmtId="1" fontId="10" fillId="0" borderId="0" xfId="1" applyNumberFormat="1" applyProtection="1">
      <protection hidden="1"/>
    </xf>
    <xf numFmtId="0" fontId="10" fillId="0" borderId="0" xfId="1"/>
    <xf numFmtId="2" fontId="10" fillId="0" borderId="0" xfId="1" applyNumberFormat="1" applyAlignment="1" applyProtection="1">
      <alignment horizontal="center"/>
      <protection locked="0" hidden="1"/>
    </xf>
    <xf numFmtId="0" fontId="10" fillId="0" borderId="0" xfId="1" applyAlignment="1" applyProtection="1">
      <alignment horizontal="center"/>
      <protection locked="0" hidden="1"/>
    </xf>
    <xf numFmtId="1" fontId="10" fillId="0" borderId="0" xfId="1" applyNumberFormat="1" applyAlignment="1" applyProtection="1">
      <alignment horizontal="center"/>
      <protection locked="0" hidden="1"/>
    </xf>
    <xf numFmtId="0" fontId="9" fillId="0" borderId="0" xfId="1" applyFont="1" applyAlignment="1" applyProtection="1">
      <alignment horizontal="center"/>
      <protection hidden="1"/>
    </xf>
    <xf numFmtId="0" fontId="10" fillId="4" borderId="0" xfId="1" applyFill="1" applyAlignment="1" applyProtection="1">
      <alignment horizontal="center"/>
      <protection hidden="1"/>
    </xf>
    <xf numFmtId="0" fontId="12" fillId="7" borderId="0" xfId="1" applyFont="1" applyFill="1" applyAlignment="1" applyProtection="1">
      <alignment horizontal="left" vertical="center"/>
      <protection hidden="1"/>
    </xf>
    <xf numFmtId="0" fontId="25" fillId="4" borderId="0" xfId="1" applyFont="1" applyFill="1" applyAlignment="1" applyProtection="1">
      <alignment vertical="top"/>
      <protection locked="0" hidden="1"/>
    </xf>
    <xf numFmtId="0" fontId="38" fillId="0" borderId="0" xfId="1" applyFont="1" applyProtection="1">
      <protection hidden="1"/>
    </xf>
    <xf numFmtId="0" fontId="12" fillId="7" borderId="0" xfId="1" applyFont="1" applyFill="1" applyAlignment="1" applyProtection="1">
      <alignment horizontal="right" vertical="center"/>
      <protection hidden="1"/>
    </xf>
    <xf numFmtId="167" fontId="10" fillId="0" borderId="0" xfId="1" applyNumberFormat="1" applyAlignment="1" applyProtection="1">
      <alignment horizontal="center"/>
      <protection hidden="1"/>
    </xf>
    <xf numFmtId="165" fontId="10" fillId="0" borderId="0" xfId="1" applyNumberFormat="1" applyProtection="1">
      <protection hidden="1"/>
    </xf>
    <xf numFmtId="0" fontId="12" fillId="0" borderId="0" xfId="1" applyFont="1" applyAlignment="1" applyProtection="1">
      <alignment horizontal="center"/>
      <protection hidden="1"/>
    </xf>
    <xf numFmtId="0" fontId="12" fillId="7" borderId="0" xfId="1" applyFont="1" applyFill="1" applyAlignment="1" applyProtection="1">
      <alignment horizontal="center" vertical="center"/>
      <protection hidden="1"/>
    </xf>
    <xf numFmtId="0" fontId="19" fillId="0" borderId="3" xfId="1" applyFont="1" applyBorder="1" applyAlignment="1" applyProtection="1">
      <alignment horizontal="left"/>
      <protection hidden="1"/>
    </xf>
    <xf numFmtId="0" fontId="10" fillId="0" borderId="4" xfId="1" applyBorder="1" applyAlignment="1" applyProtection="1">
      <alignment horizontal="center"/>
      <protection hidden="1"/>
    </xf>
    <xf numFmtId="0" fontId="34" fillId="5" borderId="5" xfId="1" applyFont="1" applyFill="1" applyBorder="1" applyProtection="1">
      <protection locked="0" hidden="1"/>
    </xf>
    <xf numFmtId="0" fontId="34" fillId="5" borderId="6" xfId="1" applyFont="1" applyFill="1" applyBorder="1" applyProtection="1">
      <protection locked="0" hidden="1"/>
    </xf>
    <xf numFmtId="0" fontId="34" fillId="5" borderId="7" xfId="1" applyFont="1" applyFill="1" applyBorder="1" applyProtection="1">
      <protection locked="0" hidden="1"/>
    </xf>
    <xf numFmtId="0" fontId="34" fillId="5" borderId="8" xfId="1" applyFont="1" applyFill="1" applyBorder="1" applyProtection="1">
      <protection locked="0" hidden="1"/>
    </xf>
    <xf numFmtId="0" fontId="34" fillId="5" borderId="9" xfId="1" applyFont="1" applyFill="1" applyBorder="1" applyProtection="1">
      <protection locked="0" hidden="1"/>
    </xf>
    <xf numFmtId="0" fontId="34" fillId="5" borderId="10" xfId="1" applyFont="1" applyFill="1" applyBorder="1" applyProtection="1">
      <protection locked="0" hidden="1"/>
    </xf>
    <xf numFmtId="0" fontId="10" fillId="5" borderId="0" xfId="1" applyFill="1" applyProtection="1">
      <protection hidden="1"/>
    </xf>
    <xf numFmtId="2" fontId="34" fillId="5" borderId="0" xfId="1" applyNumberFormat="1" applyFont="1" applyFill="1" applyProtection="1">
      <protection hidden="1"/>
    </xf>
    <xf numFmtId="0" fontId="12" fillId="0" borderId="0" xfId="1" applyFont="1"/>
    <xf numFmtId="0" fontId="19" fillId="0" borderId="0" xfId="1" applyFont="1"/>
    <xf numFmtId="0" fontId="19" fillId="0" borderId="0" xfId="1" applyFont="1" applyAlignment="1">
      <alignment horizontal="center"/>
    </xf>
    <xf numFmtId="0" fontId="44" fillId="0" borderId="0" xfId="1" applyFont="1" applyAlignment="1">
      <alignment vertical="center"/>
    </xf>
    <xf numFmtId="0" fontId="45" fillId="0" borderId="0" xfId="1" applyFont="1" applyAlignment="1">
      <alignment horizontal="right" vertical="center" wrapText="1"/>
    </xf>
    <xf numFmtId="0" fontId="10" fillId="0" borderId="0" xfId="1" applyAlignment="1">
      <alignment horizontal="center"/>
    </xf>
    <xf numFmtId="0" fontId="46" fillId="0" borderId="0" xfId="1" applyFont="1" applyAlignment="1">
      <alignment horizontal="center" vertical="center" wrapText="1"/>
    </xf>
    <xf numFmtId="0" fontId="48" fillId="0" borderId="0" xfId="1" applyFont="1" applyAlignment="1">
      <alignment horizontal="center" vertical="center" wrapText="1"/>
    </xf>
    <xf numFmtId="0" fontId="49" fillId="0" borderId="0" xfId="1" applyFont="1" applyAlignment="1">
      <alignment horizontal="center" vertical="center" wrapText="1"/>
    </xf>
    <xf numFmtId="0" fontId="41" fillId="0" borderId="0" xfId="2" applyAlignment="1">
      <alignment vertical="center"/>
    </xf>
    <xf numFmtId="168" fontId="10" fillId="0" borderId="0" xfId="1" applyNumberFormat="1" applyAlignment="1" applyProtection="1">
      <alignment horizontal="center"/>
      <protection hidden="1"/>
    </xf>
    <xf numFmtId="169" fontId="10" fillId="0" borderId="0" xfId="1" applyNumberFormat="1" applyAlignment="1" applyProtection="1">
      <alignment horizontal="center"/>
      <protection hidden="1"/>
    </xf>
    <xf numFmtId="170" fontId="10" fillId="0" borderId="0" xfId="1" applyNumberFormat="1" applyAlignment="1" applyProtection="1">
      <alignment horizontal="center"/>
      <protection hidden="1"/>
    </xf>
    <xf numFmtId="171" fontId="10" fillId="0" borderId="0" xfId="1" applyNumberFormat="1" applyAlignment="1" applyProtection="1">
      <alignment horizontal="center"/>
      <protection hidden="1"/>
    </xf>
    <xf numFmtId="167" fontId="10" fillId="0" borderId="0" xfId="1" applyNumberFormat="1" applyAlignment="1" applyProtection="1">
      <alignment horizontal="right"/>
      <protection hidden="1"/>
    </xf>
    <xf numFmtId="172" fontId="10" fillId="0" borderId="0" xfId="1" applyNumberFormat="1" applyProtection="1">
      <protection hidden="1"/>
    </xf>
    <xf numFmtId="172" fontId="10" fillId="0" borderId="0" xfId="1" applyNumberFormat="1" applyAlignment="1" applyProtection="1">
      <alignment horizontal="center"/>
      <protection hidden="1"/>
    </xf>
    <xf numFmtId="1" fontId="10" fillId="0" borderId="0" xfId="1" applyNumberFormat="1" applyAlignment="1" applyProtection="1">
      <alignment horizontal="center" vertical="center"/>
      <protection hidden="1"/>
    </xf>
    <xf numFmtId="0" fontId="0" fillId="0" borderId="0" xfId="0" applyAlignment="1">
      <alignment horizontal="left" vertical="center" wrapText="1"/>
    </xf>
    <xf numFmtId="0" fontId="0" fillId="0" borderId="0" xfId="0" applyAlignment="1">
      <alignment horizontal="center" vertical="center"/>
    </xf>
    <xf numFmtId="0" fontId="63" fillId="0" borderId="23" xfId="3" applyAlignment="1">
      <alignment horizontal="justify" vertical="justify" wrapText="1"/>
    </xf>
    <xf numFmtId="0" fontId="0" fillId="0" borderId="0" xfId="0" applyAlignment="1">
      <alignment horizontal="justify" vertical="justify" wrapText="1"/>
    </xf>
    <xf numFmtId="0" fontId="0" fillId="0" borderId="0" xfId="0" applyAlignment="1">
      <alignment horizontal="justify" vertical="top" wrapText="1"/>
    </xf>
    <xf numFmtId="0" fontId="0" fillId="0" borderId="0" xfId="0" applyAlignment="1">
      <alignment vertical="center"/>
    </xf>
    <xf numFmtId="0" fontId="10" fillId="0" borderId="0" xfId="1" applyAlignment="1" applyProtection="1">
      <alignment vertical="center"/>
      <protection hidden="1"/>
    </xf>
    <xf numFmtId="0" fontId="0" fillId="0" borderId="0" xfId="0" applyAlignment="1">
      <alignment vertical="center" wrapText="1"/>
    </xf>
    <xf numFmtId="0" fontId="0" fillId="0" borderId="0" xfId="0" applyAlignment="1">
      <alignment horizontal="center" vertical="center" wrapText="1"/>
    </xf>
    <xf numFmtId="1" fontId="0" fillId="0" borderId="0" xfId="0" applyNumberFormat="1" applyAlignment="1">
      <alignment horizontal="center" vertical="center"/>
    </xf>
    <xf numFmtId="0" fontId="0" fillId="0" borderId="0" xfId="0" applyAlignment="1">
      <alignment horizontal="left" vertical="center"/>
    </xf>
    <xf numFmtId="0" fontId="62" fillId="0" borderId="0" xfId="0" applyFont="1" applyAlignment="1">
      <alignment horizontal="left" vertical="center"/>
    </xf>
    <xf numFmtId="0" fontId="10" fillId="0" borderId="4" xfId="1" applyBorder="1" applyAlignment="1" applyProtection="1">
      <alignment vertical="center"/>
      <protection hidden="1"/>
    </xf>
    <xf numFmtId="0" fontId="10" fillId="0" borderId="0" xfId="1" applyAlignment="1" applyProtection="1">
      <alignment horizontal="left" vertical="center"/>
      <protection hidden="1"/>
    </xf>
    <xf numFmtId="0" fontId="25" fillId="0" borderId="4" xfId="1" applyFont="1" applyBorder="1" applyAlignment="1" applyProtection="1">
      <alignment vertical="center" wrapText="1"/>
      <protection hidden="1"/>
    </xf>
    <xf numFmtId="0" fontId="10" fillId="0" borderId="3" xfId="1" applyBorder="1" applyAlignment="1" applyProtection="1">
      <alignment vertical="center" wrapText="1"/>
      <protection hidden="1"/>
    </xf>
    <xf numFmtId="0" fontId="33" fillId="0" borderId="3" xfId="1" applyFont="1" applyBorder="1" applyAlignment="1" applyProtection="1">
      <alignment vertical="center" wrapText="1"/>
      <protection hidden="1"/>
    </xf>
    <xf numFmtId="0" fontId="10" fillId="0" borderId="11" xfId="1" applyBorder="1" applyAlignment="1" applyProtection="1">
      <alignment vertical="center" wrapText="1"/>
      <protection hidden="1"/>
    </xf>
    <xf numFmtId="0" fontId="10" fillId="0" borderId="16" xfId="1" applyBorder="1" applyAlignment="1" applyProtection="1">
      <alignment vertical="center" wrapText="1"/>
      <protection hidden="1"/>
    </xf>
    <xf numFmtId="0" fontId="10" fillId="0" borderId="0" xfId="1" applyAlignment="1" applyProtection="1">
      <alignment vertical="center" wrapText="1"/>
      <protection hidden="1"/>
    </xf>
    <xf numFmtId="0" fontId="10" fillId="0" borderId="4" xfId="1" applyBorder="1" applyAlignment="1" applyProtection="1">
      <alignment horizontal="left" vertical="center"/>
      <protection hidden="1"/>
    </xf>
    <xf numFmtId="0" fontId="10" fillId="0" borderId="4" xfId="1" applyBorder="1" applyAlignment="1" applyProtection="1">
      <alignment horizontal="right" vertical="center"/>
      <protection hidden="1"/>
    </xf>
    <xf numFmtId="0" fontId="10" fillId="0" borderId="17" xfId="1" applyBorder="1" applyAlignment="1" applyProtection="1">
      <alignment vertical="center"/>
      <protection hidden="1"/>
    </xf>
    <xf numFmtId="0" fontId="19" fillId="0" borderId="0" xfId="1" applyFont="1" applyAlignment="1" applyProtection="1">
      <alignment vertical="center"/>
      <protection hidden="1"/>
    </xf>
    <xf numFmtId="0" fontId="39" fillId="0" borderId="0" xfId="1" applyFont="1" applyAlignment="1" applyProtection="1">
      <alignment vertical="center"/>
      <protection hidden="1"/>
    </xf>
    <xf numFmtId="1" fontId="10" fillId="0" borderId="4" xfId="1" applyNumberFormat="1" applyBorder="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horizontal="center" vertical="center"/>
      <protection hidden="1"/>
    </xf>
    <xf numFmtId="0" fontId="79" fillId="0" borderId="4" xfId="1" applyFont="1" applyBorder="1" applyAlignment="1" applyProtection="1">
      <alignment horizontal="center"/>
      <protection hidden="1"/>
    </xf>
    <xf numFmtId="0" fontId="36" fillId="0" borderId="0" xfId="0" applyFont="1" applyAlignment="1">
      <alignment horizontal="center" vertical="center"/>
    </xf>
    <xf numFmtId="0" fontId="50" fillId="2" borderId="0" xfId="2" applyFont="1" applyFill="1" applyAlignment="1">
      <alignment vertical="center"/>
    </xf>
    <xf numFmtId="0" fontId="41" fillId="2" borderId="0" xfId="2" applyFill="1" applyAlignment="1">
      <alignment vertical="center"/>
    </xf>
    <xf numFmtId="0" fontId="41" fillId="0" borderId="0" xfId="2" applyAlignment="1">
      <alignment horizontal="center" vertical="center"/>
    </xf>
    <xf numFmtId="0" fontId="51" fillId="0" borderId="0" xfId="2" applyFont="1" applyAlignment="1">
      <alignment horizontal="center" vertical="center"/>
    </xf>
    <xf numFmtId="0" fontId="52" fillId="0" borderId="0" xfId="2" applyFont="1" applyAlignment="1">
      <alignment vertical="center"/>
    </xf>
    <xf numFmtId="2" fontId="41" fillId="0" borderId="0" xfId="2" applyNumberFormat="1" applyAlignment="1">
      <alignment vertical="center"/>
    </xf>
    <xf numFmtId="0" fontId="0" fillId="0" borderId="0" xfId="2" applyFont="1" applyAlignment="1">
      <alignment vertical="center"/>
    </xf>
    <xf numFmtId="1" fontId="51" fillId="0" borderId="0" xfId="2" applyNumberFormat="1" applyFont="1" applyAlignment="1">
      <alignment horizontal="center" vertical="center"/>
    </xf>
    <xf numFmtId="0" fontId="42" fillId="0" borderId="0" xfId="2" applyFont="1" applyAlignment="1">
      <alignment vertical="center"/>
    </xf>
    <xf numFmtId="0" fontId="53" fillId="0" borderId="0" xfId="2" applyFont="1" applyAlignment="1">
      <alignment horizontal="right" vertical="center"/>
    </xf>
    <xf numFmtId="1" fontId="53" fillId="0" borderId="0" xfId="2" applyNumberFormat="1" applyFont="1" applyAlignment="1">
      <alignment vertical="center"/>
    </xf>
    <xf numFmtId="0" fontId="42" fillId="0" borderId="0" xfId="2" applyFont="1" applyAlignment="1">
      <alignment horizontal="center" vertical="center"/>
    </xf>
    <xf numFmtId="0" fontId="42" fillId="8" borderId="15" xfId="2" applyFont="1" applyFill="1" applyBorder="1" applyAlignment="1">
      <alignment horizontal="center" vertical="center"/>
    </xf>
    <xf numFmtId="0" fontId="42" fillId="8" borderId="20" xfId="2" applyFont="1" applyFill="1" applyBorder="1" applyAlignment="1">
      <alignment horizontal="center" vertical="center"/>
    </xf>
    <xf numFmtId="0" fontId="42" fillId="8" borderId="4" xfId="2" applyFont="1" applyFill="1" applyBorder="1" applyAlignment="1">
      <alignment horizontal="center" vertical="center"/>
    </xf>
    <xf numFmtId="0" fontId="42" fillId="8" borderId="12" xfId="2" applyFont="1" applyFill="1" applyBorder="1" applyAlignment="1">
      <alignment horizontal="center" vertical="center"/>
    </xf>
    <xf numFmtId="0" fontId="56" fillId="8" borderId="12" xfId="2" applyFont="1" applyFill="1" applyBorder="1" applyAlignment="1">
      <alignment horizontal="center" vertical="center"/>
    </xf>
    <xf numFmtId="0" fontId="42" fillId="8" borderId="14" xfId="2" applyFont="1" applyFill="1" applyBorder="1" applyAlignment="1">
      <alignment horizontal="center" vertical="center"/>
    </xf>
    <xf numFmtId="0" fontId="42" fillId="8" borderId="11" xfId="2" applyFont="1" applyFill="1" applyBorder="1" applyAlignment="1">
      <alignment horizontal="center" vertical="center"/>
    </xf>
    <xf numFmtId="0" fontId="42" fillId="8" borderId="21" xfId="2" applyFont="1" applyFill="1" applyBorder="1" applyAlignment="1">
      <alignment horizontal="center" vertical="center"/>
    </xf>
    <xf numFmtId="0" fontId="42" fillId="8" borderId="1" xfId="2" applyFont="1" applyFill="1" applyBorder="1" applyAlignment="1">
      <alignment horizontal="center" vertical="center"/>
    </xf>
    <xf numFmtId="0" fontId="42" fillId="8" borderId="0" xfId="2" applyFont="1" applyFill="1" applyAlignment="1">
      <alignment horizontal="center" vertical="center"/>
    </xf>
    <xf numFmtId="0" fontId="41" fillId="0" borderId="4" xfId="2" applyBorder="1" applyAlignment="1">
      <alignment horizontal="center" vertical="center"/>
    </xf>
    <xf numFmtId="0" fontId="42" fillId="0" borderId="11" xfId="2" applyFont="1" applyBorder="1" applyAlignment="1">
      <alignment horizontal="center" vertical="center"/>
    </xf>
    <xf numFmtId="0" fontId="41" fillId="0" borderId="1" xfId="2" applyBorder="1" applyAlignment="1">
      <alignment horizontal="center" vertical="center"/>
    </xf>
    <xf numFmtId="2" fontId="41" fillId="0" borderId="4" xfId="2" applyNumberFormat="1" applyBorder="1" applyAlignment="1">
      <alignment horizontal="center" vertical="center"/>
    </xf>
    <xf numFmtId="0" fontId="42" fillId="0" borderId="4" xfId="2" applyFont="1" applyBorder="1" applyAlignment="1">
      <alignment horizontal="center" vertical="center"/>
    </xf>
    <xf numFmtId="1" fontId="41" fillId="0" borderId="4" xfId="2" applyNumberFormat="1" applyBorder="1" applyAlignment="1">
      <alignment horizontal="center" vertical="center"/>
    </xf>
    <xf numFmtId="0" fontId="42" fillId="0" borderId="1" xfId="2" applyFont="1" applyBorder="1" applyAlignment="1">
      <alignment horizontal="center" vertical="center"/>
    </xf>
    <xf numFmtId="2" fontId="42" fillId="0" borderId="4" xfId="2" applyNumberFormat="1" applyFont="1" applyBorder="1" applyAlignment="1">
      <alignment horizontal="center" vertical="center"/>
    </xf>
    <xf numFmtId="0" fontId="59" fillId="0" borderId="4" xfId="2" applyFont="1" applyBorder="1" applyAlignment="1">
      <alignment horizontal="center" vertical="center"/>
    </xf>
    <xf numFmtId="2" fontId="41" fillId="0" borderId="12" xfId="2" applyNumberFormat="1" applyBorder="1" applyAlignment="1">
      <alignment horizontal="center" vertical="center"/>
    </xf>
    <xf numFmtId="0" fontId="42" fillId="0" borderId="0" xfId="2" applyFont="1" applyAlignment="1">
      <alignment horizontal="right" vertical="center"/>
    </xf>
    <xf numFmtId="0" fontId="47" fillId="0" borderId="0" xfId="2" applyFont="1" applyAlignment="1">
      <alignment horizontal="center" vertical="center"/>
    </xf>
    <xf numFmtId="164" fontId="47" fillId="0" borderId="22" xfId="2" applyNumberFormat="1" applyFont="1" applyBorder="1" applyAlignment="1">
      <alignment horizontal="center" vertical="center"/>
    </xf>
    <xf numFmtId="2" fontId="47" fillId="0" borderId="22" xfId="2" applyNumberFormat="1" applyFont="1" applyBorder="1" applyAlignment="1">
      <alignment horizontal="center" vertical="center"/>
    </xf>
    <xf numFmtId="164" fontId="61" fillId="0" borderId="22" xfId="2" applyNumberFormat="1" applyFont="1" applyBorder="1" applyAlignment="1">
      <alignment horizontal="center" vertical="center"/>
    </xf>
    <xf numFmtId="2" fontId="61" fillId="0" borderId="22" xfId="2" applyNumberFormat="1" applyFont="1" applyBorder="1" applyAlignment="1">
      <alignment horizontal="center" vertical="center"/>
    </xf>
    <xf numFmtId="2" fontId="42" fillId="0" borderId="3" xfId="2" applyNumberFormat="1" applyFont="1" applyBorder="1" applyAlignment="1">
      <alignment horizontal="center" vertical="center"/>
    </xf>
    <xf numFmtId="0" fontId="41" fillId="0" borderId="2" xfId="2" applyBorder="1" applyAlignment="1">
      <alignment horizontal="center" vertical="center"/>
    </xf>
    <xf numFmtId="0" fontId="41" fillId="0" borderId="2" xfId="2" applyBorder="1" applyAlignment="1">
      <alignment vertical="center"/>
    </xf>
    <xf numFmtId="1" fontId="42" fillId="0" borderId="4" xfId="2" applyNumberFormat="1" applyFont="1" applyBorder="1" applyAlignment="1">
      <alignment horizontal="center" vertical="center"/>
    </xf>
    <xf numFmtId="2" fontId="41" fillId="0" borderId="13" xfId="2" applyNumberFormat="1" applyBorder="1" applyAlignment="1">
      <alignment horizontal="center" vertical="center"/>
    </xf>
    <xf numFmtId="2" fontId="42" fillId="0" borderId="0" xfId="2" applyNumberFormat="1" applyFont="1" applyAlignment="1">
      <alignment horizontal="center" vertical="center"/>
    </xf>
    <xf numFmtId="0" fontId="41" fillId="9" borderId="1" xfId="2" applyFill="1" applyBorder="1" applyAlignment="1">
      <alignment vertical="center"/>
    </xf>
    <xf numFmtId="0" fontId="41" fillId="9" borderId="2" xfId="2" applyFill="1" applyBorder="1" applyAlignment="1">
      <alignment vertical="center"/>
    </xf>
    <xf numFmtId="0" fontId="41" fillId="9" borderId="3" xfId="2" applyFill="1" applyBorder="1" applyAlignment="1">
      <alignment vertical="center"/>
    </xf>
    <xf numFmtId="0" fontId="41" fillId="10" borderId="4" xfId="2" applyFill="1" applyBorder="1" applyAlignment="1">
      <alignment vertical="center"/>
    </xf>
    <xf numFmtId="0" fontId="41" fillId="9" borderId="4" xfId="2" applyFill="1" applyBorder="1" applyAlignment="1">
      <alignment vertical="center"/>
    </xf>
    <xf numFmtId="167" fontId="41" fillId="10" borderId="4" xfId="2" applyNumberFormat="1" applyFill="1" applyBorder="1" applyAlignment="1">
      <alignment horizontal="center" vertical="center"/>
    </xf>
    <xf numFmtId="0" fontId="41" fillId="10" borderId="4" xfId="2" applyFill="1" applyBorder="1" applyAlignment="1">
      <alignment horizontal="center" vertical="center"/>
    </xf>
    <xf numFmtId="0" fontId="41" fillId="9" borderId="4" xfId="2" applyFill="1" applyBorder="1" applyAlignment="1">
      <alignment horizontal="center" vertical="center"/>
    </xf>
    <xf numFmtId="165" fontId="41" fillId="10" borderId="4" xfId="2" applyNumberFormat="1" applyFill="1" applyBorder="1" applyAlignment="1">
      <alignment horizontal="center" vertical="center"/>
    </xf>
    <xf numFmtId="0" fontId="41" fillId="10" borderId="12" xfId="2" applyFill="1" applyBorder="1" applyAlignment="1">
      <alignment horizontal="center" vertical="center"/>
    </xf>
    <xf numFmtId="0" fontId="41" fillId="10" borderId="1" xfId="2" applyFill="1" applyBorder="1" applyAlignment="1">
      <alignment horizontal="center" vertical="center"/>
    </xf>
    <xf numFmtId="165" fontId="47" fillId="10" borderId="22" xfId="2" applyNumberFormat="1" applyFont="1" applyFill="1" applyBorder="1" applyAlignment="1">
      <alignment horizontal="center" vertical="center"/>
    </xf>
    <xf numFmtId="0" fontId="41" fillId="9" borderId="20" xfId="2" applyFill="1" applyBorder="1" applyAlignment="1">
      <alignment horizontal="center" vertical="center"/>
    </xf>
    <xf numFmtId="0" fontId="41" fillId="9" borderId="14" xfId="2" applyFill="1" applyBorder="1" applyAlignment="1">
      <alignment horizontal="center" vertical="center"/>
    </xf>
    <xf numFmtId="165" fontId="47" fillId="9" borderId="22" xfId="2" applyNumberFormat="1" applyFont="1" applyFill="1" applyBorder="1" applyAlignment="1">
      <alignment horizontal="center" vertical="center"/>
    </xf>
    <xf numFmtId="0" fontId="41" fillId="9" borderId="3" xfId="2" applyFill="1" applyBorder="1" applyAlignment="1">
      <alignment horizontal="center" vertical="center"/>
    </xf>
    <xf numFmtId="0" fontId="41" fillId="9" borderId="11" xfId="2" applyFill="1" applyBorder="1" applyAlignment="1">
      <alignment horizontal="center" vertical="center"/>
    </xf>
    <xf numFmtId="165" fontId="41" fillId="9" borderId="4" xfId="2" applyNumberFormat="1" applyFill="1" applyBorder="1" applyAlignment="1">
      <alignment horizontal="center" vertical="center"/>
    </xf>
    <xf numFmtId="0" fontId="41" fillId="0" borderId="0" xfId="2" applyAlignment="1">
      <alignment horizontal="left" vertical="center"/>
    </xf>
    <xf numFmtId="0" fontId="36" fillId="0" borderId="0" xfId="0" applyFont="1"/>
    <xf numFmtId="168" fontId="34" fillId="5" borderId="0" xfId="1" applyNumberFormat="1" applyFont="1" applyFill="1" applyProtection="1">
      <protection hidden="1"/>
    </xf>
    <xf numFmtId="0" fontId="65" fillId="0" borderId="0" xfId="4" applyProtection="1"/>
    <xf numFmtId="0" fontId="64" fillId="11" borderId="0" xfId="0" applyFont="1" applyFill="1"/>
    <xf numFmtId="0" fontId="64" fillId="11" borderId="0" xfId="0" applyFont="1" applyFill="1" applyAlignment="1">
      <alignment horizontal="center" vertical="center"/>
    </xf>
    <xf numFmtId="0" fontId="67" fillId="11" borderId="0" xfId="0" applyFont="1" applyFill="1" applyAlignment="1">
      <alignment horizontal="center"/>
    </xf>
    <xf numFmtId="0" fontId="69" fillId="0" borderId="0" xfId="0" applyFont="1" applyAlignment="1">
      <alignment horizontal="left" vertical="center"/>
    </xf>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0" fillId="0" borderId="18" xfId="0" applyBorder="1" applyAlignment="1">
      <alignment horizontal="center" vertical="center"/>
    </xf>
    <xf numFmtId="0" fontId="42" fillId="0" borderId="18" xfId="0" applyFont="1" applyBorder="1" applyAlignment="1">
      <alignment horizontal="center" vertical="center"/>
    </xf>
    <xf numFmtId="0" fontId="42" fillId="0" borderId="0" xfId="0" applyFont="1" applyAlignment="1">
      <alignment vertical="center"/>
    </xf>
    <xf numFmtId="14" fontId="0" fillId="0" borderId="0" xfId="0" applyNumberFormat="1" applyAlignment="1">
      <alignment horizontal="center" vertical="center"/>
    </xf>
    <xf numFmtId="0" fontId="0" fillId="0" borderId="33" xfId="0" applyBorder="1" applyAlignment="1">
      <alignment horizontal="center" vertical="center"/>
    </xf>
    <xf numFmtId="2" fontId="77" fillId="12" borderId="24" xfId="6" applyNumberFormat="1" applyBorder="1" applyAlignment="1" applyProtection="1">
      <alignment vertical="center"/>
    </xf>
    <xf numFmtId="2" fontId="77" fillId="12" borderId="33" xfId="6" applyNumberFormat="1" applyBorder="1" applyAlignment="1" applyProtection="1">
      <alignment vertical="center"/>
    </xf>
    <xf numFmtId="2" fontId="0" fillId="0" borderId="0" xfId="0" applyNumberFormat="1" applyAlignment="1">
      <alignment horizontal="center" vertical="center"/>
    </xf>
    <xf numFmtId="164" fontId="0" fillId="0" borderId="0" xfId="0" applyNumberFormat="1" applyAlignment="1">
      <alignment horizontal="center" vertical="center"/>
    </xf>
    <xf numFmtId="0" fontId="35" fillId="0" borderId="0" xfId="0" applyFont="1" applyAlignment="1">
      <alignment horizontal="center" vertical="center"/>
    </xf>
    <xf numFmtId="2" fontId="8" fillId="0" borderId="0" xfId="0" applyNumberFormat="1" applyFont="1" applyAlignment="1">
      <alignment vertical="center"/>
    </xf>
    <xf numFmtId="0" fontId="45" fillId="0" borderId="0" xfId="0" applyFont="1" applyAlignment="1">
      <alignment vertical="center"/>
    </xf>
    <xf numFmtId="0" fontId="45" fillId="0" borderId="0" xfId="0" applyFont="1"/>
    <xf numFmtId="2" fontId="7" fillId="0" borderId="0" xfId="0" applyNumberFormat="1" applyFont="1" applyAlignment="1">
      <alignment vertical="center"/>
    </xf>
    <xf numFmtId="0" fontId="7" fillId="0" borderId="0" xfId="0" applyFont="1" applyAlignment="1">
      <alignment vertical="center"/>
    </xf>
    <xf numFmtId="0" fontId="45" fillId="8" borderId="0" xfId="0" applyFont="1" applyFill="1" applyAlignment="1">
      <alignment vertical="center"/>
    </xf>
    <xf numFmtId="0" fontId="92" fillId="0" borderId="0" xfId="0" applyFont="1" applyAlignment="1">
      <alignment vertical="center"/>
    </xf>
    <xf numFmtId="0" fontId="93" fillId="0" borderId="0" xfId="0" applyFont="1" applyAlignment="1">
      <alignment horizontal="center" vertical="center"/>
    </xf>
    <xf numFmtId="0" fontId="45" fillId="0" borderId="0" xfId="0" applyFont="1" applyAlignment="1">
      <alignment horizontal="center" vertical="center"/>
    </xf>
    <xf numFmtId="0" fontId="91" fillId="0" borderId="0" xfId="0" applyFont="1" applyAlignment="1">
      <alignment vertical="center"/>
    </xf>
    <xf numFmtId="0" fontId="93" fillId="8" borderId="0" xfId="0" applyFont="1" applyFill="1" applyAlignment="1">
      <alignment vertical="center"/>
    </xf>
    <xf numFmtId="0" fontId="95" fillId="0" borderId="0" xfId="0" applyFont="1" applyAlignment="1">
      <alignment vertical="center"/>
    </xf>
    <xf numFmtId="0" fontId="95" fillId="0" borderId="0" xfId="0" applyFont="1" applyAlignment="1">
      <alignment vertical="center" wrapText="1"/>
    </xf>
    <xf numFmtId="0" fontId="95" fillId="0" borderId="0" xfId="0" applyFont="1" applyAlignment="1">
      <alignment horizontal="center" vertical="center"/>
    </xf>
    <xf numFmtId="0" fontId="95" fillId="0" borderId="0" xfId="0" applyFont="1"/>
    <xf numFmtId="0" fontId="95" fillId="6" borderId="33" xfId="0" applyFont="1" applyFill="1" applyBorder="1" applyAlignment="1" applyProtection="1">
      <alignment horizontal="center" vertical="center"/>
      <protection locked="0"/>
    </xf>
    <xf numFmtId="0" fontId="98" fillId="0" borderId="0" xfId="0" applyFont="1" applyAlignment="1">
      <alignment vertical="center"/>
    </xf>
    <xf numFmtId="14" fontId="95" fillId="0" borderId="0" xfId="0" applyNumberFormat="1" applyFont="1" applyAlignment="1">
      <alignment horizontal="center" vertical="center"/>
    </xf>
    <xf numFmtId="0" fontId="95" fillId="0" borderId="18" xfId="0" applyFont="1" applyBorder="1" applyAlignment="1">
      <alignment horizontal="center" vertical="center"/>
    </xf>
    <xf numFmtId="0" fontId="99" fillId="0" borderId="0" xfId="0" applyFont="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right" vertical="center"/>
    </xf>
    <xf numFmtId="176" fontId="7" fillId="0" borderId="0" xfId="0" applyNumberFormat="1" applyFont="1" applyAlignment="1">
      <alignment horizontal="right" vertical="center"/>
    </xf>
    <xf numFmtId="0" fontId="7" fillId="0" borderId="0" xfId="0" applyFont="1" applyAlignment="1">
      <alignment horizontal="right" vertical="center"/>
    </xf>
    <xf numFmtId="0" fontId="7" fillId="0" borderId="0" xfId="0" applyFont="1" applyAlignment="1">
      <alignment horizontal="justify" vertical="justify" wrapText="1"/>
    </xf>
    <xf numFmtId="0" fontId="0" fillId="6" borderId="33" xfId="0" applyFill="1" applyBorder="1" applyAlignment="1" applyProtection="1">
      <alignment horizontal="center" vertical="center"/>
      <protection locked="0"/>
    </xf>
    <xf numFmtId="9" fontId="0" fillId="6" borderId="33" xfId="0" applyNumberFormat="1" applyFill="1" applyBorder="1" applyAlignment="1" applyProtection="1">
      <alignment horizontal="center" vertical="center"/>
      <protection locked="0"/>
    </xf>
    <xf numFmtId="164" fontId="0" fillId="6" borderId="33" xfId="0" applyNumberFormat="1" applyFill="1" applyBorder="1" applyAlignment="1" applyProtection="1">
      <alignment horizontal="center" vertical="center"/>
      <protection locked="0"/>
    </xf>
    <xf numFmtId="0" fontId="103" fillId="0" borderId="0" xfId="0" applyFont="1" applyAlignment="1">
      <alignment horizontal="right" vertical="center"/>
    </xf>
    <xf numFmtId="0" fontId="99" fillId="0" borderId="0" xfId="0" applyFont="1" applyAlignment="1">
      <alignment horizontal="right" vertical="center"/>
    </xf>
    <xf numFmtId="0" fontId="103" fillId="0" borderId="0" xfId="0" applyFont="1" applyAlignment="1">
      <alignment horizontal="center" vertical="center"/>
    </xf>
    <xf numFmtId="0" fontId="6" fillId="0" borderId="0" xfId="0" applyFont="1" applyAlignment="1">
      <alignment vertical="center"/>
    </xf>
    <xf numFmtId="0" fontId="6" fillId="0" borderId="17" xfId="0" applyFont="1" applyBorder="1" applyAlignment="1">
      <alignment horizontal="center" vertical="center"/>
    </xf>
    <xf numFmtId="0" fontId="102" fillId="0" borderId="0" xfId="0" applyFont="1" applyAlignment="1">
      <alignment vertical="center"/>
    </xf>
    <xf numFmtId="0" fontId="103"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vertical="center"/>
    </xf>
    <xf numFmtId="164" fontId="6" fillId="0" borderId="0" xfId="0" applyNumberFormat="1" applyFont="1" applyAlignment="1">
      <alignment horizontal="center" vertical="center"/>
    </xf>
    <xf numFmtId="0" fontId="102" fillId="0" borderId="17" xfId="0" applyFont="1" applyBorder="1" applyAlignment="1">
      <alignment vertical="center"/>
    </xf>
    <xf numFmtId="2" fontId="6" fillId="0" borderId="17" xfId="0" applyNumberFormat="1" applyFont="1" applyBorder="1" applyAlignment="1">
      <alignment horizontal="center" vertical="center"/>
    </xf>
    <xf numFmtId="0" fontId="45" fillId="0" borderId="17" xfId="0" applyFont="1" applyBorder="1" applyAlignment="1">
      <alignment horizontal="center" vertical="center"/>
    </xf>
    <xf numFmtId="0" fontId="102" fillId="0" borderId="38" xfId="0" applyFont="1" applyBorder="1" applyAlignment="1">
      <alignment vertical="center"/>
    </xf>
    <xf numFmtId="0" fontId="45" fillId="0" borderId="38" xfId="0" applyFont="1" applyBorder="1" applyAlignment="1">
      <alignment vertical="center"/>
    </xf>
    <xf numFmtId="0" fontId="102" fillId="0" borderId="39" xfId="0" applyFont="1" applyBorder="1" applyAlignment="1">
      <alignment vertical="center"/>
    </xf>
    <xf numFmtId="2" fontId="6" fillId="0" borderId="39" xfId="0" applyNumberFormat="1" applyFont="1" applyBorder="1" applyAlignment="1">
      <alignment horizontal="center" vertical="center"/>
    </xf>
    <xf numFmtId="0" fontId="45" fillId="0" borderId="39" xfId="0" applyFont="1" applyBorder="1" applyAlignment="1">
      <alignment horizontal="center" vertical="center"/>
    </xf>
    <xf numFmtId="0" fontId="6" fillId="0" borderId="38" xfId="0" applyFont="1" applyBorder="1" applyAlignment="1">
      <alignment horizontal="center" vertical="center"/>
    </xf>
    <xf numFmtId="0" fontId="102" fillId="0" borderId="40" xfId="0" applyFont="1" applyBorder="1" applyAlignment="1">
      <alignment vertical="center"/>
    </xf>
    <xf numFmtId="2" fontId="6" fillId="0" borderId="40" xfId="0" applyNumberFormat="1" applyFont="1" applyBorder="1" applyAlignment="1">
      <alignment horizontal="center" vertical="center"/>
    </xf>
    <xf numFmtId="0" fontId="99" fillId="0" borderId="38" xfId="0" applyFont="1" applyBorder="1" applyAlignment="1">
      <alignment horizontal="center" vertical="center"/>
    </xf>
    <xf numFmtId="0" fontId="99" fillId="0" borderId="38" xfId="0" applyFont="1" applyBorder="1" applyAlignment="1">
      <alignment vertical="center"/>
    </xf>
    <xf numFmtId="0" fontId="95" fillId="0" borderId="0" xfId="0" applyFont="1" applyAlignment="1">
      <alignment horizontal="justify" vertical="justify" wrapText="1"/>
    </xf>
    <xf numFmtId="0" fontId="5" fillId="0" borderId="0" xfId="0" applyFont="1" applyAlignment="1">
      <alignment vertical="center"/>
    </xf>
    <xf numFmtId="0" fontId="5" fillId="0" borderId="0" xfId="0" applyFont="1" applyAlignment="1">
      <alignment vertical="center" wrapText="1"/>
    </xf>
    <xf numFmtId="2" fontId="45" fillId="0" borderId="0" xfId="0" applyNumberFormat="1" applyFont="1" applyAlignment="1">
      <alignment vertical="center"/>
    </xf>
    <xf numFmtId="2" fontId="7" fillId="0" borderId="0" xfId="0" applyNumberFormat="1" applyFont="1" applyAlignment="1">
      <alignment horizontal="right" vertical="center"/>
    </xf>
    <xf numFmtId="0" fontId="110" fillId="0" borderId="0" xfId="0" applyFont="1" applyAlignment="1">
      <alignment vertical="center"/>
    </xf>
    <xf numFmtId="0" fontId="4" fillId="0" borderId="0" xfId="0" applyFont="1" applyAlignment="1">
      <alignment vertical="center"/>
    </xf>
    <xf numFmtId="0" fontId="4" fillId="0" borderId="0" xfId="0" applyFont="1"/>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center" vertical="center"/>
    </xf>
    <xf numFmtId="176" fontId="4" fillId="0" borderId="0" xfId="0" applyNumberFormat="1" applyFont="1" applyAlignment="1">
      <alignment horizontal="center" vertical="center"/>
    </xf>
    <xf numFmtId="2" fontId="4" fillId="0" borderId="0" xfId="0" applyNumberFormat="1" applyFont="1" applyAlignment="1">
      <alignment horizontal="center" vertical="center"/>
    </xf>
    <xf numFmtId="1" fontId="4" fillId="0" borderId="0" xfId="0" applyNumberFormat="1" applyFont="1" applyAlignment="1">
      <alignment horizontal="center" vertical="center"/>
    </xf>
    <xf numFmtId="2" fontId="3" fillId="0" borderId="0" xfId="0" applyNumberFormat="1" applyFont="1" applyAlignment="1">
      <alignment horizontal="center" vertical="center"/>
    </xf>
    <xf numFmtId="176" fontId="3" fillId="0" borderId="0" xfId="0" applyNumberFormat="1" applyFont="1" applyAlignment="1">
      <alignment horizontal="center" vertical="center"/>
    </xf>
    <xf numFmtId="173" fontId="3" fillId="0" borderId="0" xfId="8" applyNumberFormat="1" applyFont="1" applyAlignment="1">
      <alignment horizontal="center" vertical="center"/>
    </xf>
    <xf numFmtId="0" fontId="112" fillId="0" borderId="0" xfId="0" applyFont="1" applyAlignment="1">
      <alignment vertical="center"/>
    </xf>
    <xf numFmtId="0" fontId="11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176" fontId="2" fillId="0" borderId="0" xfId="0" applyNumberFormat="1" applyFont="1" applyAlignment="1">
      <alignment horizontal="center" vertical="center"/>
    </xf>
    <xf numFmtId="0" fontId="99" fillId="0" borderId="0" xfId="0" applyFont="1" applyAlignment="1">
      <alignment vertical="center"/>
    </xf>
    <xf numFmtId="2"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82" fillId="13" borderId="0" xfId="7" applyAlignment="1" applyProtection="1">
      <alignment horizontal="center" vertical="center"/>
    </xf>
    <xf numFmtId="9" fontId="2" fillId="0" borderId="0" xfId="0" applyNumberFormat="1" applyFont="1" applyAlignment="1">
      <alignment horizontal="center" vertical="center"/>
    </xf>
    <xf numFmtId="0" fontId="63" fillId="0" borderId="23" xfId="3" applyAlignment="1">
      <alignment horizontal="justify" vertical="justify" wrapText="1"/>
    </xf>
    <xf numFmtId="0" fontId="0" fillId="0" borderId="0" xfId="0" applyAlignment="1">
      <alignment horizontal="left" wrapText="1"/>
    </xf>
    <xf numFmtId="0" fontId="64" fillId="11" borderId="0" xfId="0" applyFont="1" applyFill="1" applyAlignment="1">
      <alignment horizontal="center" wrapText="1"/>
    </xf>
    <xf numFmtId="0" fontId="66" fillId="0" borderId="0" xfId="0" applyFont="1" applyAlignment="1" applyProtection="1">
      <alignment horizontal="center" vertical="center"/>
      <protection locked="0"/>
    </xf>
    <xf numFmtId="0" fontId="68" fillId="11" borderId="0" xfId="0" applyFont="1" applyFill="1" applyAlignment="1">
      <alignment horizontal="center" wrapText="1"/>
    </xf>
    <xf numFmtId="0" fontId="0" fillId="0" borderId="0" xfId="0" applyAlignment="1">
      <alignment horizontal="center"/>
    </xf>
    <xf numFmtId="0" fontId="0" fillId="0" borderId="0" xfId="0" applyAlignment="1">
      <alignment horizontal="left" vertical="center" wrapText="1"/>
    </xf>
    <xf numFmtId="0" fontId="70" fillId="11" borderId="0" xfId="0" applyFont="1" applyFill="1" applyAlignment="1">
      <alignment horizontal="center" vertical="center"/>
    </xf>
    <xf numFmtId="0" fontId="65" fillId="0" borderId="0" xfId="4" applyFill="1" applyAlignment="1" applyProtection="1">
      <alignment horizontal="left" vertical="center" wrapText="1"/>
    </xf>
    <xf numFmtId="0" fontId="99" fillId="0" borderId="0" xfId="0" applyFont="1" applyAlignment="1">
      <alignment horizontal="center" vertical="center"/>
    </xf>
    <xf numFmtId="0" fontId="99" fillId="0" borderId="37" xfId="0" applyFont="1" applyBorder="1" applyAlignment="1">
      <alignment horizontal="center" vertical="center"/>
    </xf>
    <xf numFmtId="0" fontId="43" fillId="3" borderId="0" xfId="0" applyFont="1" applyFill="1" applyAlignment="1" applyProtection="1">
      <alignment horizontal="center" vertical="center"/>
      <protection locked="0"/>
    </xf>
    <xf numFmtId="0" fontId="95" fillId="3" borderId="0" xfId="0" applyFont="1" applyFill="1" applyAlignment="1" applyProtection="1">
      <alignment horizontal="center" vertical="center"/>
      <protection locked="0"/>
    </xf>
    <xf numFmtId="0" fontId="71" fillId="8" borderId="0" xfId="0" applyFont="1" applyFill="1" applyAlignment="1">
      <alignment horizontal="left" vertical="center"/>
    </xf>
    <xf numFmtId="0" fontId="73" fillId="8" borderId="0" xfId="0" applyFont="1" applyFill="1" applyAlignment="1">
      <alignment horizontal="left" vertical="center"/>
    </xf>
    <xf numFmtId="0" fontId="43" fillId="3" borderId="0" xfId="0" applyFont="1" applyFill="1" applyAlignment="1" applyProtection="1">
      <alignment horizontal="center" vertical="center" wrapText="1"/>
      <protection locked="0"/>
    </xf>
    <xf numFmtId="0" fontId="95" fillId="0" borderId="0" xfId="0" applyFont="1" applyAlignment="1">
      <alignment horizontal="center" vertical="center"/>
    </xf>
    <xf numFmtId="0" fontId="42" fillId="0" borderId="18" xfId="0" applyFont="1" applyBorder="1" applyAlignment="1">
      <alignment horizontal="center" vertical="center"/>
    </xf>
    <xf numFmtId="175" fontId="95" fillId="0" borderId="31" xfId="0" applyNumberFormat="1" applyFont="1" applyBorder="1" applyAlignment="1" applyProtection="1">
      <alignment horizontal="left" vertical="center"/>
      <protection locked="0"/>
    </xf>
    <xf numFmtId="0" fontId="95" fillId="6" borderId="24" xfId="0" applyFont="1" applyFill="1" applyBorder="1" applyAlignment="1" applyProtection="1">
      <alignment horizontal="left" vertical="center"/>
      <protection locked="0"/>
    </xf>
    <xf numFmtId="0" fontId="95" fillId="6" borderId="25" xfId="0" applyFont="1" applyFill="1" applyBorder="1" applyAlignment="1" applyProtection="1">
      <alignment horizontal="left" vertical="center"/>
      <protection locked="0"/>
    </xf>
    <xf numFmtId="0" fontId="95" fillId="6" borderId="26" xfId="0" applyFont="1" applyFill="1" applyBorder="1" applyAlignment="1" applyProtection="1">
      <alignment horizontal="left" vertical="center"/>
      <protection locked="0"/>
    </xf>
    <xf numFmtId="0" fontId="95" fillId="6" borderId="27" xfId="0" applyFont="1" applyFill="1" applyBorder="1" applyAlignment="1" applyProtection="1">
      <alignment horizontal="left" vertical="top" wrapText="1"/>
      <protection locked="0"/>
    </xf>
    <xf numFmtId="0" fontId="95" fillId="6" borderId="28" xfId="0" applyFont="1" applyFill="1" applyBorder="1" applyAlignment="1" applyProtection="1">
      <alignment horizontal="left" vertical="top" wrapText="1"/>
      <protection locked="0"/>
    </xf>
    <xf numFmtId="0" fontId="95" fillId="6" borderId="29" xfId="0" applyFont="1" applyFill="1" applyBorder="1" applyAlignment="1" applyProtection="1">
      <alignment horizontal="left" vertical="top" wrapText="1"/>
      <protection locked="0"/>
    </xf>
    <xf numFmtId="0" fontId="95" fillId="6" borderId="30" xfId="0" applyFont="1" applyFill="1" applyBorder="1" applyAlignment="1" applyProtection="1">
      <alignment horizontal="left" vertical="top" wrapText="1"/>
      <protection locked="0"/>
    </xf>
    <xf numFmtId="0" fontId="95" fillId="6" borderId="31" xfId="0" applyFont="1" applyFill="1" applyBorder="1" applyAlignment="1" applyProtection="1">
      <alignment horizontal="left" vertical="top" wrapText="1"/>
      <protection locked="0"/>
    </xf>
    <xf numFmtId="0" fontId="95" fillId="6" borderId="32" xfId="0" applyFont="1" applyFill="1" applyBorder="1" applyAlignment="1" applyProtection="1">
      <alignment horizontal="left" vertical="top" wrapText="1"/>
      <protection locked="0"/>
    </xf>
    <xf numFmtId="2" fontId="0" fillId="0" borderId="0" xfId="0" applyNumberFormat="1" applyAlignment="1">
      <alignment horizontal="center" vertical="center"/>
    </xf>
    <xf numFmtId="173" fontId="77" fillId="12" borderId="24" xfId="6" applyNumberFormat="1" applyBorder="1" applyAlignment="1" applyProtection="1">
      <alignment horizontal="center" vertical="center"/>
    </xf>
    <xf numFmtId="173" fontId="77" fillId="12" borderId="26" xfId="6" applyNumberFormat="1" applyBorder="1" applyAlignment="1" applyProtection="1">
      <alignment horizontal="center" vertical="center"/>
    </xf>
    <xf numFmtId="0" fontId="77" fillId="12" borderId="24" xfId="6" applyNumberFormat="1" applyBorder="1" applyAlignment="1" applyProtection="1">
      <alignment horizontal="left" vertical="center"/>
    </xf>
    <xf numFmtId="0" fontId="77" fillId="12" borderId="25" xfId="6" applyNumberFormat="1" applyBorder="1" applyAlignment="1" applyProtection="1">
      <alignment horizontal="left" vertical="center"/>
    </xf>
    <xf numFmtId="0" fontId="77" fillId="12" borderId="26" xfId="6" applyNumberFormat="1" applyBorder="1" applyAlignment="1" applyProtection="1">
      <alignment horizontal="left" vertical="center"/>
    </xf>
    <xf numFmtId="175" fontId="0" fillId="0" borderId="0" xfId="0" applyNumberFormat="1" applyAlignment="1">
      <alignment horizontal="left" vertical="center"/>
    </xf>
    <xf numFmtId="0" fontId="77" fillId="12" borderId="24" xfId="6" applyNumberFormat="1" applyBorder="1" applyAlignment="1" applyProtection="1">
      <alignment horizontal="center" vertical="center"/>
    </xf>
    <xf numFmtId="0" fontId="77" fillId="12" borderId="25" xfId="6" applyNumberFormat="1" applyBorder="1" applyAlignment="1" applyProtection="1">
      <alignment horizontal="center" vertical="center"/>
    </xf>
    <xf numFmtId="0" fontId="77" fillId="12" borderId="26" xfId="6" applyNumberFormat="1" applyBorder="1" applyAlignment="1" applyProtection="1">
      <alignment horizontal="center" vertical="center"/>
    </xf>
    <xf numFmtId="0" fontId="77" fillId="12" borderId="27" xfId="6" applyNumberFormat="1" applyBorder="1" applyAlignment="1" applyProtection="1">
      <alignment horizontal="left" vertical="top" wrapText="1"/>
    </xf>
    <xf numFmtId="0" fontId="77" fillId="12" borderId="28" xfId="6" applyNumberFormat="1" applyBorder="1" applyAlignment="1" applyProtection="1">
      <alignment horizontal="left" vertical="top" wrapText="1"/>
    </xf>
    <xf numFmtId="0" fontId="77" fillId="12" borderId="29" xfId="6" applyNumberFormat="1" applyBorder="1" applyAlignment="1" applyProtection="1">
      <alignment horizontal="left" vertical="top" wrapText="1"/>
    </xf>
    <xf numFmtId="0" fontId="77" fillId="12" borderId="30" xfId="6" applyNumberFormat="1" applyBorder="1" applyAlignment="1" applyProtection="1">
      <alignment horizontal="left" vertical="top" wrapText="1"/>
    </xf>
    <xf numFmtId="0" fontId="77" fillId="12" borderId="31" xfId="6" applyNumberFormat="1" applyBorder="1" applyAlignment="1" applyProtection="1">
      <alignment horizontal="left" vertical="top" wrapText="1"/>
    </xf>
    <xf numFmtId="0" fontId="77" fillId="12" borderId="32" xfId="6" applyNumberFormat="1" applyBorder="1" applyAlignment="1" applyProtection="1">
      <alignment horizontal="left" vertical="top" wrapText="1"/>
    </xf>
    <xf numFmtId="0" fontId="102" fillId="0" borderId="0" xfId="0" applyFont="1" applyAlignment="1">
      <alignment horizontal="center" vertical="center"/>
    </xf>
    <xf numFmtId="0" fontId="103" fillId="0" borderId="37" xfId="0" applyFont="1" applyBorder="1" applyAlignment="1">
      <alignment horizontal="center" vertical="center"/>
    </xf>
    <xf numFmtId="174" fontId="0" fillId="6" borderId="24" xfId="0" applyNumberFormat="1" applyFill="1" applyBorder="1" applyAlignment="1" applyProtection="1">
      <alignment horizontal="center" vertical="center"/>
      <protection locked="0"/>
    </xf>
    <xf numFmtId="174" fontId="0" fillId="6" borderId="26" xfId="0" applyNumberFormat="1" applyFill="1" applyBorder="1" applyAlignment="1" applyProtection="1">
      <alignment horizontal="center" vertical="center"/>
      <protection locked="0"/>
    </xf>
    <xf numFmtId="0" fontId="45" fillId="0" borderId="38" xfId="0" applyFont="1" applyBorder="1" applyAlignment="1">
      <alignment horizontal="center" vertical="center"/>
    </xf>
    <xf numFmtId="0" fontId="6" fillId="0" borderId="17" xfId="0" applyFont="1" applyBorder="1" applyAlignment="1">
      <alignment horizontal="center" vertical="center" wrapText="1"/>
    </xf>
    <xf numFmtId="0" fontId="5" fillId="0" borderId="17"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94" fillId="0" borderId="0" xfId="0" applyFont="1" applyAlignment="1">
      <alignment horizontal="right" vertical="center"/>
    </xf>
    <xf numFmtId="0" fontId="93" fillId="0" borderId="0" xfId="0" applyFont="1" applyAlignment="1">
      <alignment horizontal="justify" vertical="top" wrapText="1"/>
    </xf>
    <xf numFmtId="0" fontId="71" fillId="0" borderId="0" xfId="0" applyFont="1" applyAlignment="1">
      <alignment horizontal="center" vertical="center" wrapText="1"/>
    </xf>
    <xf numFmtId="0" fontId="93" fillId="0" borderId="0" xfId="0" applyFont="1" applyAlignment="1">
      <alignment horizontal="center" vertical="center"/>
    </xf>
    <xf numFmtId="0" fontId="7" fillId="0" borderId="17" xfId="0" applyFont="1" applyBorder="1" applyAlignment="1">
      <alignment horizontal="center" vertical="center"/>
    </xf>
    <xf numFmtId="0" fontId="83" fillId="0" borderId="0" xfId="0" applyFont="1" applyAlignment="1">
      <alignment horizontal="left" vertical="center" wrapText="1"/>
    </xf>
    <xf numFmtId="0" fontId="6" fillId="0" borderId="17" xfId="0" applyFont="1" applyBorder="1" applyAlignment="1">
      <alignment horizontal="center" vertical="center"/>
    </xf>
    <xf numFmtId="0" fontId="45" fillId="0" borderId="0" xfId="0" applyFont="1" applyAlignment="1">
      <alignment horizontal="center" vertical="center"/>
    </xf>
    <xf numFmtId="175" fontId="93" fillId="0" borderId="0" xfId="0" applyNumberFormat="1" applyFont="1" applyAlignment="1">
      <alignment horizontal="right" vertical="center"/>
    </xf>
    <xf numFmtId="0" fontId="115" fillId="0" borderId="0" xfId="0" applyFont="1" applyAlignment="1">
      <alignment horizontal="center" vertical="center"/>
    </xf>
    <xf numFmtId="0" fontId="4" fillId="0" borderId="0" xfId="0" applyFont="1" applyAlignment="1">
      <alignment horizontal="center" vertical="center" wrapText="1"/>
    </xf>
    <xf numFmtId="0" fontId="103" fillId="0" borderId="0" xfId="0" applyFont="1" applyAlignment="1">
      <alignment horizontal="center" vertical="center"/>
    </xf>
    <xf numFmtId="0" fontId="38" fillId="0" borderId="0" xfId="1" applyFont="1" applyAlignment="1" applyProtection="1">
      <alignment horizontal="left"/>
      <protection hidden="1"/>
    </xf>
    <xf numFmtId="0" fontId="11" fillId="4" borderId="0" xfId="1" applyFont="1" applyFill="1" applyAlignment="1" applyProtection="1">
      <alignment horizontal="center" vertical="top"/>
      <protection locked="0" hidden="1"/>
    </xf>
    <xf numFmtId="0" fontId="38" fillId="0" borderId="17" xfId="1" applyFont="1" applyBorder="1" applyAlignment="1" applyProtection="1">
      <alignment horizontal="center"/>
      <protection hidden="1"/>
    </xf>
    <xf numFmtId="0" fontId="12" fillId="7" borderId="0" xfId="1" applyFont="1" applyFill="1" applyAlignment="1" applyProtection="1">
      <alignment horizontal="center" vertical="center"/>
      <protection hidden="1"/>
    </xf>
    <xf numFmtId="1" fontId="12" fillId="7" borderId="0" xfId="1" applyNumberFormat="1" applyFont="1" applyFill="1" applyAlignment="1" applyProtection="1">
      <alignment horizontal="left" vertical="center"/>
      <protection hidden="1"/>
    </xf>
    <xf numFmtId="14" fontId="38" fillId="0" borderId="0" xfId="1" applyNumberFormat="1" applyFont="1" applyAlignment="1" applyProtection="1">
      <alignment horizontal="left"/>
      <protection hidden="1"/>
    </xf>
    <xf numFmtId="0" fontId="30" fillId="4" borderId="0" xfId="1" applyFont="1" applyFill="1" applyAlignment="1" applyProtection="1">
      <alignment horizontal="left" vertical="top" wrapText="1"/>
      <protection locked="0" hidden="1"/>
    </xf>
    <xf numFmtId="0" fontId="30" fillId="7" borderId="0" xfId="1" applyFont="1" applyFill="1" applyAlignment="1" applyProtection="1">
      <alignment horizontal="left" vertical="top" wrapText="1"/>
      <protection hidden="1"/>
    </xf>
    <xf numFmtId="0" fontId="12" fillId="0" borderId="1" xfId="1" applyFont="1" applyBorder="1" applyAlignment="1" applyProtection="1">
      <alignment horizontal="center" vertical="top"/>
      <protection hidden="1"/>
    </xf>
    <xf numFmtId="0" fontId="12" fillId="0" borderId="2" xfId="1" applyFont="1" applyBorder="1" applyAlignment="1" applyProtection="1">
      <alignment horizontal="center" vertical="top"/>
      <protection hidden="1"/>
    </xf>
    <xf numFmtId="0" fontId="12" fillId="0" borderId="3" xfId="1" applyFont="1" applyBorder="1" applyAlignment="1" applyProtection="1">
      <alignment horizontal="center" vertical="top"/>
      <protection hidden="1"/>
    </xf>
    <xf numFmtId="0" fontId="12" fillId="7" borderId="19" xfId="1" applyFont="1" applyFill="1" applyBorder="1" applyAlignment="1" applyProtection="1">
      <alignment horizontal="center" vertical="center"/>
      <protection hidden="1"/>
    </xf>
    <xf numFmtId="0" fontId="12" fillId="7" borderId="0" xfId="1" applyFont="1" applyFill="1" applyAlignment="1" applyProtection="1">
      <alignment horizontal="left" vertical="center"/>
      <protection hidden="1"/>
    </xf>
    <xf numFmtId="0" fontId="12" fillId="0" borderId="0" xfId="1" applyFont="1" applyAlignment="1" applyProtection="1">
      <alignment horizontal="center"/>
      <protection hidden="1"/>
    </xf>
    <xf numFmtId="0" fontId="19" fillId="0" borderId="1" xfId="1" applyFont="1" applyBorder="1" applyAlignment="1" applyProtection="1">
      <alignment horizontal="center"/>
      <protection hidden="1"/>
    </xf>
    <xf numFmtId="0" fontId="19" fillId="0" borderId="2" xfId="1" applyFont="1" applyBorder="1" applyAlignment="1" applyProtection="1">
      <alignment horizontal="center"/>
      <protection hidden="1"/>
    </xf>
    <xf numFmtId="0" fontId="19" fillId="0" borderId="3" xfId="1" applyFont="1" applyBorder="1" applyAlignment="1" applyProtection="1">
      <alignment horizontal="center"/>
      <protection hidden="1"/>
    </xf>
    <xf numFmtId="0" fontId="19" fillId="0" borderId="1" xfId="1" applyFont="1" applyBorder="1" applyAlignment="1" applyProtection="1">
      <alignment horizontal="left"/>
      <protection hidden="1"/>
    </xf>
    <xf numFmtId="0" fontId="19" fillId="0" borderId="2" xfId="1" applyFont="1" applyBorder="1" applyAlignment="1" applyProtection="1">
      <alignment horizontal="left"/>
      <protection hidden="1"/>
    </xf>
    <xf numFmtId="0" fontId="19" fillId="0" borderId="3" xfId="1" applyFont="1" applyBorder="1" applyAlignment="1" applyProtection="1">
      <alignment horizontal="left"/>
      <protection hidden="1"/>
    </xf>
    <xf numFmtId="0" fontId="10" fillId="4" borderId="0" xfId="1" applyFill="1" applyAlignment="1" applyProtection="1">
      <alignment horizontal="center"/>
      <protection hidden="1"/>
    </xf>
    <xf numFmtId="0" fontId="19" fillId="4" borderId="1" xfId="1" applyFont="1" applyFill="1" applyBorder="1" applyAlignment="1" applyProtection="1">
      <alignment horizontal="left"/>
      <protection hidden="1"/>
    </xf>
    <xf numFmtId="0" fontId="19" fillId="4" borderId="2" xfId="1" applyFont="1" applyFill="1" applyBorder="1" applyAlignment="1" applyProtection="1">
      <alignment horizontal="left"/>
      <protection hidden="1"/>
    </xf>
    <xf numFmtId="0" fontId="19" fillId="4" borderId="3" xfId="1" applyFont="1" applyFill="1" applyBorder="1" applyAlignment="1" applyProtection="1">
      <alignment horizontal="left"/>
      <protection hidden="1"/>
    </xf>
    <xf numFmtId="0" fontId="26" fillId="0" borderId="0" xfId="1" applyFont="1" applyAlignment="1" applyProtection="1">
      <alignment horizontal="center"/>
      <protection hidden="1"/>
    </xf>
    <xf numFmtId="0" fontId="10" fillId="0" borderId="0" xfId="1" applyAlignment="1" applyProtection="1">
      <alignment horizontal="right" wrapText="1"/>
      <protection hidden="1"/>
    </xf>
    <xf numFmtId="0" fontId="10" fillId="0" borderId="0" xfId="1" applyAlignment="1" applyProtection="1">
      <alignment horizontal="center"/>
      <protection hidden="1"/>
    </xf>
    <xf numFmtId="0" fontId="28" fillId="0" borderId="0" xfId="1" applyFont="1" applyAlignment="1" applyProtection="1">
      <alignment horizontal="left"/>
      <protection hidden="1"/>
    </xf>
    <xf numFmtId="0" fontId="17" fillId="0" borderId="0" xfId="1" applyFont="1" applyAlignment="1" applyProtection="1">
      <alignment horizontal="center"/>
      <protection hidden="1"/>
    </xf>
    <xf numFmtId="0" fontId="28" fillId="0" borderId="0" xfId="1" applyFont="1" applyAlignment="1" applyProtection="1">
      <alignment horizontal="center"/>
      <protection hidden="1"/>
    </xf>
    <xf numFmtId="0" fontId="42" fillId="8" borderId="15" xfId="2" applyFont="1" applyFill="1" applyBorder="1" applyAlignment="1">
      <alignment horizontal="center" vertical="center"/>
    </xf>
    <xf numFmtId="0" fontId="42" fillId="8" borderId="20" xfId="2" applyFont="1" applyFill="1" applyBorder="1" applyAlignment="1">
      <alignment horizontal="center" vertical="center"/>
    </xf>
    <xf numFmtId="0" fontId="42" fillId="8" borderId="14" xfId="2" applyFont="1" applyFill="1" applyBorder="1" applyAlignment="1">
      <alignment horizontal="center" vertical="center"/>
    </xf>
    <xf numFmtId="0" fontId="42" fillId="8" borderId="16" xfId="2" applyFont="1" applyFill="1" applyBorder="1" applyAlignment="1">
      <alignment horizontal="center" vertical="center"/>
    </xf>
    <xf numFmtId="0" fontId="42" fillId="8" borderId="19" xfId="2" applyFont="1" applyFill="1" applyBorder="1" applyAlignment="1">
      <alignment horizontal="center" vertical="center"/>
    </xf>
    <xf numFmtId="0" fontId="42" fillId="8" borderId="4" xfId="2" applyFont="1" applyFill="1" applyBorder="1" applyAlignment="1">
      <alignment horizontal="center" vertical="center"/>
    </xf>
    <xf numFmtId="0" fontId="42" fillId="8" borderId="1" xfId="2" applyFont="1" applyFill="1" applyBorder="1" applyAlignment="1">
      <alignment horizontal="center" vertical="center"/>
    </xf>
    <xf numFmtId="0" fontId="42" fillId="8" borderId="17" xfId="2" applyFont="1" applyFill="1" applyBorder="1" applyAlignment="1">
      <alignment horizontal="center" vertical="center"/>
    </xf>
    <xf numFmtId="0" fontId="41" fillId="8" borderId="17" xfId="2" applyFill="1" applyBorder="1" applyAlignment="1">
      <alignment horizontal="center" vertical="center"/>
    </xf>
    <xf numFmtId="0" fontId="41" fillId="8" borderId="16" xfId="2" applyFill="1" applyBorder="1" applyAlignment="1">
      <alignment horizontal="center" vertical="center"/>
    </xf>
    <xf numFmtId="0" fontId="42" fillId="8" borderId="36" xfId="2" applyFont="1" applyFill="1" applyBorder="1" applyAlignment="1">
      <alignment horizontal="center" vertical="center"/>
    </xf>
    <xf numFmtId="0" fontId="42" fillId="8" borderId="21" xfId="2" applyFont="1" applyFill="1" applyBorder="1" applyAlignment="1">
      <alignment horizontal="center" vertical="center"/>
    </xf>
    <xf numFmtId="0" fontId="63" fillId="0" borderId="23" xfId="3" applyAlignment="1">
      <alignment horizontal="center" vertical="center"/>
    </xf>
    <xf numFmtId="0" fontId="75" fillId="0" borderId="34" xfId="5" applyAlignment="1">
      <alignment horizontal="center" vertical="center"/>
    </xf>
    <xf numFmtId="0" fontId="10" fillId="0" borderId="17" xfId="1" applyBorder="1" applyAlignment="1" applyProtection="1">
      <alignment horizontal="center" vertical="center"/>
      <protection hidden="1"/>
    </xf>
    <xf numFmtId="0" fontId="10" fillId="0" borderId="0" xfId="1" applyAlignment="1" applyProtection="1">
      <alignment horizontal="center" vertical="center"/>
      <protection hidden="1"/>
    </xf>
  </cellXfs>
  <cellStyles count="9">
    <cellStyle name="Heading 2" xfId="5" builtinId="17"/>
    <cellStyle name="Heading 3" xfId="3" builtinId="18"/>
    <cellStyle name="Hyperlink" xfId="4" builtinId="8"/>
    <cellStyle name="Neutral" xfId="7" builtinId="28"/>
    <cellStyle name="Normal" xfId="0" builtinId="0" customBuiltin="1"/>
    <cellStyle name="Normale 2" xfId="1" xr:uid="{00000000-0005-0000-0000-000001000000}"/>
    <cellStyle name="Normale 5" xfId="2" xr:uid="{667C620A-3BE7-44B7-B71C-43F69215C2ED}"/>
    <cellStyle name="Output" xfId="6" builtinId="21"/>
    <cellStyle name="Percent" xfId="8" builtinId="5"/>
  </cellStyles>
  <dxfs count="476">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horizontal="center" vertical="center" textRotation="0" wrapText="0" indent="0" justifyLastLine="0" shrinkToFit="0" readingOrder="0"/>
      <protection locked="1" hidden="1"/>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numFmt numFmtId="0" formatCode="General"/>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border outline="0">
        <top style="thin">
          <color indexed="64"/>
        </top>
      </border>
    </dxf>
    <dxf>
      <alignment horizontal="center" vertical="center" textRotation="0" wrapText="0" indent="0" justifyLastLine="0" shrinkToFit="0" readingOrder="0"/>
    </dxf>
    <dxf>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numFmt numFmtId="1" formatCode="0"/>
      <alignment horizontal="center" vertical="center" textRotation="0" wrapText="0" indent="0" justifyLastLine="0" shrinkToFit="0" readingOrder="0"/>
    </dxf>
    <dxf>
      <border outline="0">
        <top style="thin">
          <color indexed="64"/>
        </top>
      </border>
    </dxf>
    <dxf>
      <alignment horizontal="center" vertical="center" textRotation="0" wrapText="0" indent="0" justifyLastLine="0" shrinkToFit="0" readingOrder="0"/>
    </dxf>
    <dxf>
      <alignment horizontal="center" vertical="center" textRotation="0" wrapText="0" indent="0" justifyLastLine="0" shrinkToFit="0" readingOrder="0"/>
    </dxf>
    <dxf>
      <fill>
        <patternFill>
          <bgColor rgb="FFFF0000"/>
        </patternFill>
      </fill>
    </dxf>
    <dxf>
      <fill>
        <patternFill>
          <bgColor indexed="11"/>
        </patternFill>
      </fill>
    </dxf>
    <dxf>
      <fill>
        <patternFill>
          <bgColor indexed="1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indexed="1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theme="9" tint="0.59996337778862885"/>
        </patternFill>
      </fill>
    </dxf>
    <dxf>
      <fill>
        <patternFill>
          <fgColor auto="1"/>
          <bgColor theme="6" tint="0.59996337778862885"/>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fill>
        <patternFill>
          <bgColor rgb="FFFF0000"/>
        </patternFill>
      </fill>
    </dxf>
    <dxf>
      <fill>
        <patternFill>
          <bgColor indexed="11"/>
        </patternFill>
      </fill>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
      <alignment horizontal="center" vertical="center" textRotation="0" wrapText="0" indent="0" justifyLastLine="0" shrinkToFit="0" readingOrder="0"/>
    </dxf>
    <dxf>
      <alignment horizontal="justify" vertical="justify" textRotation="0" wrapText="1" indent="0" justifyLastLine="0" shrinkToFit="0" readingOrder="0"/>
    </dxf>
    <dxf>
      <alignment horizontal="justify" vertical="justify" textRotation="0" wrapText="1" indent="0" justifyLastLine="0" shrinkToFit="0" readingOrder="0"/>
    </dxf>
  </dxfs>
  <tableStyles count="0" defaultTableStyle="TableStyleMedium9" defaultPivotStyle="PivotStyleLight16"/>
  <colors>
    <mruColors>
      <color rgb="FF000000"/>
      <color rgb="FF66CCFF"/>
      <color rgb="FFFF3300"/>
      <color rgb="FFFF0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5" Type="http://schemas.microsoft.com/office/2006/relationships/vbaProject" Target="vbaProject.bin"/><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2.png"/><Relationship Id="rId7" Type="http://schemas.openxmlformats.org/officeDocument/2006/relationships/image" Target="../media/image55.png"/><Relationship Id="rId2" Type="http://schemas.openxmlformats.org/officeDocument/2006/relationships/image" Target="../media/image51.png"/><Relationship Id="rId1" Type="http://schemas.openxmlformats.org/officeDocument/2006/relationships/image" Target="../media/image50.png"/><Relationship Id="rId6" Type="http://schemas.openxmlformats.org/officeDocument/2006/relationships/image" Target="../media/image54.png"/><Relationship Id="rId5" Type="http://schemas.openxmlformats.org/officeDocument/2006/relationships/image" Target="../media/image53.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51.png"/><Relationship Id="rId1" Type="http://schemas.openxmlformats.org/officeDocument/2006/relationships/image" Target="../media/image50.png"/><Relationship Id="rId4" Type="http://schemas.openxmlformats.org/officeDocument/2006/relationships/image" Target="../media/image67.png"/></Relationships>
</file>

<file path=xl/drawings/_rels/drawing6.xml.rels><?xml version="1.0" encoding="UTF-8" standalone="yes"?>
<Relationships xmlns="http://schemas.openxmlformats.org/package/2006/relationships"><Relationship Id="rId3" Type="http://schemas.openxmlformats.org/officeDocument/2006/relationships/image" Target="../media/image72.png"/><Relationship Id="rId2" Type="http://schemas.openxmlformats.org/officeDocument/2006/relationships/image" Target="../media/image71.png"/><Relationship Id="rId1" Type="http://schemas.openxmlformats.org/officeDocument/2006/relationships/image" Target="../media/image70.png"/></Relationships>
</file>

<file path=xl/drawings/_rels/drawing7.xml.rels><?xml version="1.0" encoding="UTF-8" standalone="yes"?>
<Relationships xmlns="http://schemas.openxmlformats.org/package/2006/relationships"><Relationship Id="rId3" Type="http://schemas.openxmlformats.org/officeDocument/2006/relationships/image" Target="../media/image75.png"/><Relationship Id="rId2" Type="http://schemas.openxmlformats.org/officeDocument/2006/relationships/image" Target="../media/image74.png"/><Relationship Id="rId1" Type="http://schemas.openxmlformats.org/officeDocument/2006/relationships/image" Target="../media/image73.png"/></Relationships>
</file>

<file path=xl/drawings/_rels/drawing8.xml.rels><?xml version="1.0" encoding="UTF-8" standalone="yes"?>
<Relationships xmlns="http://schemas.openxmlformats.org/package/2006/relationships"><Relationship Id="rId1" Type="http://schemas.openxmlformats.org/officeDocument/2006/relationships/image" Target="../media/image7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3.vml.rels><?xml version="1.0" encoding="UTF-8" standalone="yes"?>
<Relationships xmlns="http://schemas.openxmlformats.org/package/2006/relationships"><Relationship Id="rId13" Type="http://schemas.openxmlformats.org/officeDocument/2006/relationships/image" Target="../media/image21.emf"/><Relationship Id="rId18" Type="http://schemas.openxmlformats.org/officeDocument/2006/relationships/image" Target="../media/image26.emf"/><Relationship Id="rId26" Type="http://schemas.openxmlformats.org/officeDocument/2006/relationships/image" Target="../media/image34.emf"/><Relationship Id="rId39" Type="http://schemas.openxmlformats.org/officeDocument/2006/relationships/image" Target="../media/image47.emf"/><Relationship Id="rId21" Type="http://schemas.openxmlformats.org/officeDocument/2006/relationships/image" Target="../media/image29.emf"/><Relationship Id="rId34" Type="http://schemas.openxmlformats.org/officeDocument/2006/relationships/image" Target="../media/image42.emf"/><Relationship Id="rId7" Type="http://schemas.openxmlformats.org/officeDocument/2006/relationships/image" Target="../media/image15.emf"/><Relationship Id="rId2" Type="http://schemas.openxmlformats.org/officeDocument/2006/relationships/image" Target="../media/image10.emf"/><Relationship Id="rId16" Type="http://schemas.openxmlformats.org/officeDocument/2006/relationships/image" Target="../media/image24.emf"/><Relationship Id="rId20" Type="http://schemas.openxmlformats.org/officeDocument/2006/relationships/image" Target="../media/image28.emf"/><Relationship Id="rId29" Type="http://schemas.openxmlformats.org/officeDocument/2006/relationships/image" Target="../media/image37.emf"/><Relationship Id="rId41" Type="http://schemas.openxmlformats.org/officeDocument/2006/relationships/image" Target="../media/image49.emf"/><Relationship Id="rId1" Type="http://schemas.openxmlformats.org/officeDocument/2006/relationships/image" Target="../media/image9.emf"/><Relationship Id="rId6" Type="http://schemas.openxmlformats.org/officeDocument/2006/relationships/image" Target="../media/image14.emf"/><Relationship Id="rId11" Type="http://schemas.openxmlformats.org/officeDocument/2006/relationships/image" Target="../media/image19.emf"/><Relationship Id="rId24" Type="http://schemas.openxmlformats.org/officeDocument/2006/relationships/image" Target="../media/image32.emf"/><Relationship Id="rId32" Type="http://schemas.openxmlformats.org/officeDocument/2006/relationships/image" Target="../media/image40.emf"/><Relationship Id="rId37" Type="http://schemas.openxmlformats.org/officeDocument/2006/relationships/image" Target="../media/image45.emf"/><Relationship Id="rId40" Type="http://schemas.openxmlformats.org/officeDocument/2006/relationships/image" Target="../media/image48.emf"/><Relationship Id="rId5" Type="http://schemas.openxmlformats.org/officeDocument/2006/relationships/image" Target="../media/image13.emf"/><Relationship Id="rId15" Type="http://schemas.openxmlformats.org/officeDocument/2006/relationships/image" Target="../media/image23.emf"/><Relationship Id="rId23" Type="http://schemas.openxmlformats.org/officeDocument/2006/relationships/image" Target="../media/image31.emf"/><Relationship Id="rId28" Type="http://schemas.openxmlformats.org/officeDocument/2006/relationships/image" Target="../media/image36.emf"/><Relationship Id="rId36" Type="http://schemas.openxmlformats.org/officeDocument/2006/relationships/image" Target="../media/image44.emf"/><Relationship Id="rId10" Type="http://schemas.openxmlformats.org/officeDocument/2006/relationships/image" Target="../media/image18.emf"/><Relationship Id="rId19" Type="http://schemas.openxmlformats.org/officeDocument/2006/relationships/image" Target="../media/image27.emf"/><Relationship Id="rId31" Type="http://schemas.openxmlformats.org/officeDocument/2006/relationships/image" Target="../media/image39.emf"/><Relationship Id="rId4" Type="http://schemas.openxmlformats.org/officeDocument/2006/relationships/image" Target="../media/image12.emf"/><Relationship Id="rId9" Type="http://schemas.openxmlformats.org/officeDocument/2006/relationships/image" Target="../media/image17.emf"/><Relationship Id="rId14" Type="http://schemas.openxmlformats.org/officeDocument/2006/relationships/image" Target="../media/image22.emf"/><Relationship Id="rId22" Type="http://schemas.openxmlformats.org/officeDocument/2006/relationships/image" Target="../media/image30.emf"/><Relationship Id="rId27" Type="http://schemas.openxmlformats.org/officeDocument/2006/relationships/image" Target="../media/image35.emf"/><Relationship Id="rId30" Type="http://schemas.openxmlformats.org/officeDocument/2006/relationships/image" Target="../media/image38.emf"/><Relationship Id="rId35" Type="http://schemas.openxmlformats.org/officeDocument/2006/relationships/image" Target="../media/image43.emf"/><Relationship Id="rId8" Type="http://schemas.openxmlformats.org/officeDocument/2006/relationships/image" Target="../media/image16.emf"/><Relationship Id="rId3" Type="http://schemas.openxmlformats.org/officeDocument/2006/relationships/image" Target="../media/image11.emf"/><Relationship Id="rId12" Type="http://schemas.openxmlformats.org/officeDocument/2006/relationships/image" Target="../media/image20.emf"/><Relationship Id="rId17" Type="http://schemas.openxmlformats.org/officeDocument/2006/relationships/image" Target="../media/image25.emf"/><Relationship Id="rId25" Type="http://schemas.openxmlformats.org/officeDocument/2006/relationships/image" Target="../media/image33.emf"/><Relationship Id="rId33" Type="http://schemas.openxmlformats.org/officeDocument/2006/relationships/image" Target="../media/image41.emf"/><Relationship Id="rId38" Type="http://schemas.openxmlformats.org/officeDocument/2006/relationships/image" Target="../media/image4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14.emf"/><Relationship Id="rId18" Type="http://schemas.openxmlformats.org/officeDocument/2006/relationships/image" Target="../media/image19.emf"/><Relationship Id="rId26" Type="http://schemas.openxmlformats.org/officeDocument/2006/relationships/image" Target="../media/image29.emf"/><Relationship Id="rId39" Type="http://schemas.openxmlformats.org/officeDocument/2006/relationships/image" Target="../media/image66.emf"/><Relationship Id="rId21" Type="http://schemas.openxmlformats.org/officeDocument/2006/relationships/image" Target="../media/image22.emf"/><Relationship Id="rId34" Type="http://schemas.openxmlformats.org/officeDocument/2006/relationships/image" Target="../media/image61.emf"/><Relationship Id="rId42" Type="http://schemas.openxmlformats.org/officeDocument/2006/relationships/image" Target="../media/image37.emf"/><Relationship Id="rId47" Type="http://schemas.openxmlformats.org/officeDocument/2006/relationships/image" Target="../media/image42.emf"/><Relationship Id="rId50" Type="http://schemas.openxmlformats.org/officeDocument/2006/relationships/image" Target="../media/image48.emf"/><Relationship Id="rId7" Type="http://schemas.openxmlformats.org/officeDocument/2006/relationships/image" Target="../media/image43.emf"/><Relationship Id="rId2" Type="http://schemas.openxmlformats.org/officeDocument/2006/relationships/image" Target="../media/image57.emf"/><Relationship Id="rId16" Type="http://schemas.openxmlformats.org/officeDocument/2006/relationships/image" Target="../media/image17.emf"/><Relationship Id="rId29" Type="http://schemas.openxmlformats.org/officeDocument/2006/relationships/image" Target="../media/image32.emf"/><Relationship Id="rId11" Type="http://schemas.openxmlformats.org/officeDocument/2006/relationships/image" Target="../media/image12.emf"/><Relationship Id="rId24" Type="http://schemas.openxmlformats.org/officeDocument/2006/relationships/image" Target="../media/image26.emf"/><Relationship Id="rId32" Type="http://schemas.openxmlformats.org/officeDocument/2006/relationships/image" Target="../media/image35.emf"/><Relationship Id="rId37" Type="http://schemas.openxmlformats.org/officeDocument/2006/relationships/image" Target="../media/image64.emf"/><Relationship Id="rId40" Type="http://schemas.openxmlformats.org/officeDocument/2006/relationships/image" Target="../media/image46.emf"/><Relationship Id="rId45" Type="http://schemas.openxmlformats.org/officeDocument/2006/relationships/image" Target="../media/image40.emf"/><Relationship Id="rId5" Type="http://schemas.openxmlformats.org/officeDocument/2006/relationships/image" Target="../media/image23.emf"/><Relationship Id="rId15" Type="http://schemas.openxmlformats.org/officeDocument/2006/relationships/image" Target="../media/image16.emf"/><Relationship Id="rId23" Type="http://schemas.openxmlformats.org/officeDocument/2006/relationships/image" Target="../media/image25.emf"/><Relationship Id="rId28" Type="http://schemas.openxmlformats.org/officeDocument/2006/relationships/image" Target="../media/image31.emf"/><Relationship Id="rId36" Type="http://schemas.openxmlformats.org/officeDocument/2006/relationships/image" Target="../media/image63.emf"/><Relationship Id="rId49" Type="http://schemas.openxmlformats.org/officeDocument/2006/relationships/image" Target="../media/image44.emf"/><Relationship Id="rId10" Type="http://schemas.openxmlformats.org/officeDocument/2006/relationships/image" Target="../media/image11.emf"/><Relationship Id="rId19" Type="http://schemas.openxmlformats.org/officeDocument/2006/relationships/image" Target="../media/image20.emf"/><Relationship Id="rId31" Type="http://schemas.openxmlformats.org/officeDocument/2006/relationships/image" Target="../media/image34.emf"/><Relationship Id="rId44" Type="http://schemas.openxmlformats.org/officeDocument/2006/relationships/image" Target="../media/image39.emf"/><Relationship Id="rId4" Type="http://schemas.openxmlformats.org/officeDocument/2006/relationships/image" Target="../media/image59.emf"/><Relationship Id="rId9" Type="http://schemas.openxmlformats.org/officeDocument/2006/relationships/image" Target="../media/image10.emf"/><Relationship Id="rId14" Type="http://schemas.openxmlformats.org/officeDocument/2006/relationships/image" Target="../media/image15.emf"/><Relationship Id="rId22" Type="http://schemas.openxmlformats.org/officeDocument/2006/relationships/image" Target="../media/image24.emf"/><Relationship Id="rId27" Type="http://schemas.openxmlformats.org/officeDocument/2006/relationships/image" Target="../media/image30.emf"/><Relationship Id="rId30" Type="http://schemas.openxmlformats.org/officeDocument/2006/relationships/image" Target="../media/image33.emf"/><Relationship Id="rId35" Type="http://schemas.openxmlformats.org/officeDocument/2006/relationships/image" Target="../media/image62.emf"/><Relationship Id="rId43" Type="http://schemas.openxmlformats.org/officeDocument/2006/relationships/image" Target="../media/image38.emf"/><Relationship Id="rId48" Type="http://schemas.openxmlformats.org/officeDocument/2006/relationships/image" Target="../media/image47.emf"/><Relationship Id="rId8" Type="http://schemas.openxmlformats.org/officeDocument/2006/relationships/image" Target="../media/image9.emf"/><Relationship Id="rId51" Type="http://schemas.openxmlformats.org/officeDocument/2006/relationships/image" Target="../media/image49.emf"/><Relationship Id="rId3" Type="http://schemas.openxmlformats.org/officeDocument/2006/relationships/image" Target="../media/image58.emf"/><Relationship Id="rId12" Type="http://schemas.openxmlformats.org/officeDocument/2006/relationships/image" Target="../media/image13.emf"/><Relationship Id="rId17" Type="http://schemas.openxmlformats.org/officeDocument/2006/relationships/image" Target="../media/image18.emf"/><Relationship Id="rId25" Type="http://schemas.openxmlformats.org/officeDocument/2006/relationships/image" Target="../media/image27.emf"/><Relationship Id="rId33" Type="http://schemas.openxmlformats.org/officeDocument/2006/relationships/image" Target="../media/image45.emf"/><Relationship Id="rId38" Type="http://schemas.openxmlformats.org/officeDocument/2006/relationships/image" Target="../media/image65.emf"/><Relationship Id="rId46" Type="http://schemas.openxmlformats.org/officeDocument/2006/relationships/image" Target="../media/image41.emf"/><Relationship Id="rId20" Type="http://schemas.openxmlformats.org/officeDocument/2006/relationships/image" Target="../media/image21.emf"/><Relationship Id="rId41" Type="http://schemas.openxmlformats.org/officeDocument/2006/relationships/image" Target="../media/image36.emf"/><Relationship Id="rId1" Type="http://schemas.openxmlformats.org/officeDocument/2006/relationships/image" Target="../media/image56.emf"/><Relationship Id="rId6" Type="http://schemas.openxmlformats.org/officeDocument/2006/relationships/image" Target="../media/image60.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68.png"/></Relationships>
</file>

<file path=xl/drawings/drawing1.xml><?xml version="1.0" encoding="utf-8"?>
<xdr:wsDr xmlns:xdr="http://schemas.openxmlformats.org/drawingml/2006/spreadsheetDrawing" xmlns:a="http://schemas.openxmlformats.org/drawingml/2006/main">
  <xdr:twoCellAnchor>
    <xdr:from>
      <xdr:col>3</xdr:col>
      <xdr:colOff>1857376</xdr:colOff>
      <xdr:row>65</xdr:row>
      <xdr:rowOff>28575</xdr:rowOff>
    </xdr:from>
    <xdr:to>
      <xdr:col>3</xdr:col>
      <xdr:colOff>3714750</xdr:colOff>
      <xdr:row>67</xdr:row>
      <xdr:rowOff>123825</xdr:rowOff>
    </xdr:to>
    <xdr:sp macro="[0]!Accept_Click" textlink="">
      <xdr:nvSpPr>
        <xdr:cNvPr id="3" name="CasellaDiTesto 2">
          <a:extLst>
            <a:ext uri="{FF2B5EF4-FFF2-40B4-BE49-F238E27FC236}">
              <a16:creationId xmlns:a16="http://schemas.microsoft.com/office/drawing/2014/main" id="{00000000-0008-0000-0000-000003000000}"/>
            </a:ext>
          </a:extLst>
        </xdr:cNvPr>
        <xdr:cNvSpPr txBox="1"/>
      </xdr:nvSpPr>
      <xdr:spPr>
        <a:xfrm>
          <a:off x="4133851" y="2819400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fLocksWithSheet="0"/>
  </xdr:twoCellAnchor>
  <xdr:twoCellAnchor editAs="absolute">
    <xdr:from>
      <xdr:col>4</xdr:col>
      <xdr:colOff>1088970</xdr:colOff>
      <xdr:row>11</xdr:row>
      <xdr:rowOff>203837</xdr:rowOff>
    </xdr:from>
    <xdr:to>
      <xdr:col>5</xdr:col>
      <xdr:colOff>238125</xdr:colOff>
      <xdr:row>11</xdr:row>
      <xdr:rowOff>828674</xdr:rowOff>
    </xdr:to>
    <xdr:pic macro="[0]!VaiACella_Condizioni">
      <xdr:nvPicPr>
        <xdr:cNvPr id="4" name="Elemento grafico 4" descr="Frecce a zig zag con riempimento a tinta unita">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9322726" y="2359951"/>
          <a:ext cx="628647" cy="576000"/>
        </a:xfrm>
        <a:prstGeom prst="rect">
          <a:avLst/>
        </a:prstGeom>
      </xdr:spPr>
    </xdr:pic>
    <xdr:clientData fLocksWithSheet="0" fPrintsWithSheet="0"/>
  </xdr:twoCellAnchor>
  <xdr:twoCellAnchor editAs="oneCell">
    <xdr:from>
      <xdr:col>1</xdr:col>
      <xdr:colOff>28575</xdr:colOff>
      <xdr:row>0</xdr:row>
      <xdr:rowOff>133350</xdr:rowOff>
    </xdr:from>
    <xdr:to>
      <xdr:col>2</xdr:col>
      <xdr:colOff>1393650</xdr:colOff>
      <xdr:row>4</xdr:row>
      <xdr:rowOff>168221</xdr:rowOff>
    </xdr:to>
    <xdr:pic>
      <xdr:nvPicPr>
        <xdr:cNvPr id="6" name="Immagine 1">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l="7792" t="6154" r="5195" b="7679"/>
        <a:stretch/>
      </xdr:blipFill>
      <xdr:spPr>
        <a:xfrm>
          <a:off x="457200" y="133350"/>
          <a:ext cx="1797510" cy="772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335</xdr:colOff>
      <xdr:row>0</xdr:row>
      <xdr:rowOff>0</xdr:rowOff>
    </xdr:from>
    <xdr:to>
      <xdr:col>3</xdr:col>
      <xdr:colOff>1905</xdr:colOff>
      <xdr:row>2</xdr:row>
      <xdr:rowOff>2150</xdr:rowOff>
    </xdr:to>
    <xdr:pic macro="[0]!ExportPDF">
      <xdr:nvPicPr>
        <xdr:cNvPr id="5244" name="Picture 5243" descr="Download with solid fill">
          <a:extLst>
            <a:ext uri="{FF2B5EF4-FFF2-40B4-BE49-F238E27FC236}">
              <a16:creationId xmlns:a16="http://schemas.microsoft.com/office/drawing/2014/main" id="{00000000-0008-0000-0200-00007C140000}"/>
            </a:ext>
          </a:extLst>
        </xdr:cNvPr>
        <xdr:cNvPicPr preferRelativeResize="0">
          <a:picLocks noChangeAspect="1"/>
        </xdr:cNvPicPr>
      </xdr:nvPicPr>
      <xdr:blipFill>
        <a:blip xmlns:r="http://schemas.openxmlformats.org/officeDocument/2006/relationships" r:embed="rId1"/>
        <a:stretch>
          <a:fillRect/>
        </a:stretch>
      </xdr:blipFill>
      <xdr:spPr>
        <a:xfrm>
          <a:off x="1227155" y="0"/>
          <a:ext cx="582595" cy="582595"/>
        </a:xfrm>
        <a:prstGeom prst="rect">
          <a:avLst/>
        </a:prstGeom>
      </xdr:spPr>
    </xdr:pic>
    <xdr:clientData fPrintsWithSheet="0"/>
  </xdr:twoCellAnchor>
  <xdr:twoCellAnchor editAs="absolute">
    <xdr:from>
      <xdr:col>3</xdr:col>
      <xdr:colOff>19532</xdr:colOff>
      <xdr:row>0</xdr:row>
      <xdr:rowOff>0</xdr:rowOff>
    </xdr:from>
    <xdr:to>
      <xdr:col>4</xdr:col>
      <xdr:colOff>20294</xdr:colOff>
      <xdr:row>2</xdr:row>
      <xdr:rowOff>1342</xdr:rowOff>
    </xdr:to>
    <xdr:pic macro="[0]!SaveDoc">
      <xdr:nvPicPr>
        <xdr:cNvPr id="5246" name="Picture 5245" descr="Disk with solid fill">
          <a:extLst>
            <a:ext uri="{FF2B5EF4-FFF2-40B4-BE49-F238E27FC236}">
              <a16:creationId xmlns:a16="http://schemas.microsoft.com/office/drawing/2014/main" id="{00000000-0008-0000-0200-00007E140000}"/>
            </a:ext>
          </a:extLst>
        </xdr:cNvPr>
        <xdr:cNvPicPr preferRelativeResize="0">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flipH="1">
          <a:off x="1818668" y="0"/>
          <a:ext cx="576072" cy="576072"/>
        </a:xfrm>
        <a:prstGeom prst="rect">
          <a:avLst/>
        </a:prstGeom>
      </xdr:spPr>
    </xdr:pic>
    <xdr:clientData fPrintsWithSheet="0"/>
  </xdr:twoCellAnchor>
  <xdr:twoCellAnchor>
    <xdr:from>
      <xdr:col>3</xdr:col>
      <xdr:colOff>226919</xdr:colOff>
      <xdr:row>34</xdr:row>
      <xdr:rowOff>57150</xdr:rowOff>
    </xdr:from>
    <xdr:to>
      <xdr:col>8</xdr:col>
      <xdr:colOff>249331</xdr:colOff>
      <xdr:row>34</xdr:row>
      <xdr:rowOff>1847850</xdr:rowOff>
    </xdr:to>
    <xdr:grpSp>
      <xdr:nvGrpSpPr>
        <xdr:cNvPr id="5254" name="VBA_Geometry">
          <a:extLst>
            <a:ext uri="{FF2B5EF4-FFF2-40B4-BE49-F238E27FC236}">
              <a16:creationId xmlns:a16="http://schemas.microsoft.com/office/drawing/2014/main" id="{066160BC-7D2E-9965-D81A-A213028E3C1F}"/>
            </a:ext>
          </a:extLst>
        </xdr:cNvPr>
        <xdr:cNvGrpSpPr>
          <a:grpSpLocks/>
        </xdr:cNvGrpSpPr>
      </xdr:nvGrpSpPr>
      <xdr:grpSpPr>
        <a:xfrm>
          <a:off x="2036669" y="5286375"/>
          <a:ext cx="3165662" cy="1790700"/>
          <a:chOff x="0" y="5000625"/>
          <a:chExt cx="3165662" cy="1790700"/>
        </a:xfrm>
      </xdr:grpSpPr>
      <xdr:sp macro="" textlink="">
        <xdr:nvSpPr>
          <xdr:cNvPr id="5220" name="VBA_CLT_Board_0_0">
            <a:extLst>
              <a:ext uri="{FF2B5EF4-FFF2-40B4-BE49-F238E27FC236}">
                <a16:creationId xmlns:a16="http://schemas.microsoft.com/office/drawing/2014/main" id="{14B346E4-1109-5AC7-7541-6F01EAEDE4B0}"/>
              </a:ext>
            </a:extLst>
          </xdr:cNvPr>
          <xdr:cNvSpPr/>
        </xdr:nvSpPr>
        <xdr:spPr>
          <a:xfrm>
            <a:off x="476250" y="541972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1" name="VBA_CLT_Board_0_1">
            <a:extLst>
              <a:ext uri="{FF2B5EF4-FFF2-40B4-BE49-F238E27FC236}">
                <a16:creationId xmlns:a16="http://schemas.microsoft.com/office/drawing/2014/main" id="{EA44C45B-86F9-BB41-DDF6-1597233D0A2F}"/>
              </a:ext>
            </a:extLst>
          </xdr:cNvPr>
          <xdr:cNvSpPr/>
        </xdr:nvSpPr>
        <xdr:spPr>
          <a:xfrm>
            <a:off x="860452" y="5419725"/>
            <a:ext cx="384201"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2" name="VBA_CLT_Board_0_2">
            <a:extLst>
              <a:ext uri="{FF2B5EF4-FFF2-40B4-BE49-F238E27FC236}">
                <a16:creationId xmlns:a16="http://schemas.microsoft.com/office/drawing/2014/main" id="{41F831C8-906D-CF3D-D0B8-05E6E6A6B1F8}"/>
              </a:ext>
            </a:extLst>
          </xdr:cNvPr>
          <xdr:cNvSpPr/>
        </xdr:nvSpPr>
        <xdr:spPr>
          <a:xfrm>
            <a:off x="1244653" y="541972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3" name="VBA_CLT_Board_0_3">
            <a:extLst>
              <a:ext uri="{FF2B5EF4-FFF2-40B4-BE49-F238E27FC236}">
                <a16:creationId xmlns:a16="http://schemas.microsoft.com/office/drawing/2014/main" id="{79275657-086F-BE03-015A-B860A3263DA4}"/>
              </a:ext>
            </a:extLst>
          </xdr:cNvPr>
          <xdr:cNvSpPr/>
        </xdr:nvSpPr>
        <xdr:spPr>
          <a:xfrm>
            <a:off x="1628855" y="5419725"/>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4" name="VBA_CLT_Board_0_4">
            <a:extLst>
              <a:ext uri="{FF2B5EF4-FFF2-40B4-BE49-F238E27FC236}">
                <a16:creationId xmlns:a16="http://schemas.microsoft.com/office/drawing/2014/main" id="{9EAA3F0E-F089-9981-5EA4-CFBD33F6C9E5}"/>
              </a:ext>
            </a:extLst>
          </xdr:cNvPr>
          <xdr:cNvSpPr/>
        </xdr:nvSpPr>
        <xdr:spPr>
          <a:xfrm>
            <a:off x="2013057" y="541972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5" name="VBA_CLT_Board_0_5">
            <a:extLst>
              <a:ext uri="{FF2B5EF4-FFF2-40B4-BE49-F238E27FC236}">
                <a16:creationId xmlns:a16="http://schemas.microsoft.com/office/drawing/2014/main" id="{3BAE9860-20C3-F2FE-928A-9FC16F66558A}"/>
              </a:ext>
            </a:extLst>
          </xdr:cNvPr>
          <xdr:cNvSpPr/>
        </xdr:nvSpPr>
        <xdr:spPr>
          <a:xfrm>
            <a:off x="2397258" y="5419725"/>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6" name="VBA_CLT_Board_0_6">
            <a:extLst>
              <a:ext uri="{FF2B5EF4-FFF2-40B4-BE49-F238E27FC236}">
                <a16:creationId xmlns:a16="http://schemas.microsoft.com/office/drawing/2014/main" id="{0DD3D338-9CE6-A660-286B-5D6E20823A84}"/>
              </a:ext>
            </a:extLst>
          </xdr:cNvPr>
          <xdr:cNvSpPr/>
        </xdr:nvSpPr>
        <xdr:spPr>
          <a:xfrm>
            <a:off x="2781460" y="541972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7" name="VBA_CLT_Cont_1">
            <a:extLst>
              <a:ext uri="{FF2B5EF4-FFF2-40B4-BE49-F238E27FC236}">
                <a16:creationId xmlns:a16="http://schemas.microsoft.com/office/drawing/2014/main" id="{962F468A-70C9-5849-B122-8EDF3C81E86E}"/>
              </a:ext>
            </a:extLst>
          </xdr:cNvPr>
          <xdr:cNvSpPr/>
        </xdr:nvSpPr>
        <xdr:spPr>
          <a:xfrm>
            <a:off x="476250" y="5520578"/>
            <a:ext cx="2689412" cy="67235"/>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8" name="VBA_CLT_Board_2_0">
            <a:extLst>
              <a:ext uri="{FF2B5EF4-FFF2-40B4-BE49-F238E27FC236}">
                <a16:creationId xmlns:a16="http://schemas.microsoft.com/office/drawing/2014/main" id="{61F532C3-932E-50AB-6CE9-31D1D343C0DD}"/>
              </a:ext>
            </a:extLst>
          </xdr:cNvPr>
          <xdr:cNvSpPr/>
        </xdr:nvSpPr>
        <xdr:spPr>
          <a:xfrm>
            <a:off x="476250" y="5587813"/>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29" name="VBA_CLT_Board_2_1">
            <a:extLst>
              <a:ext uri="{FF2B5EF4-FFF2-40B4-BE49-F238E27FC236}">
                <a16:creationId xmlns:a16="http://schemas.microsoft.com/office/drawing/2014/main" id="{5795A810-CD27-B6F5-6891-2DD300520A32}"/>
              </a:ext>
            </a:extLst>
          </xdr:cNvPr>
          <xdr:cNvSpPr/>
        </xdr:nvSpPr>
        <xdr:spPr>
          <a:xfrm>
            <a:off x="860452" y="5587813"/>
            <a:ext cx="384201"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30" name="VBA_CLT_Board_2_2">
            <a:extLst>
              <a:ext uri="{FF2B5EF4-FFF2-40B4-BE49-F238E27FC236}">
                <a16:creationId xmlns:a16="http://schemas.microsoft.com/office/drawing/2014/main" id="{35BF0C6D-8AFE-A050-9AB3-EE835D009F71}"/>
              </a:ext>
            </a:extLst>
          </xdr:cNvPr>
          <xdr:cNvSpPr/>
        </xdr:nvSpPr>
        <xdr:spPr>
          <a:xfrm>
            <a:off x="1244653" y="5587813"/>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31" name="VBA_CLT_Board_2_3">
            <a:extLst>
              <a:ext uri="{FF2B5EF4-FFF2-40B4-BE49-F238E27FC236}">
                <a16:creationId xmlns:a16="http://schemas.microsoft.com/office/drawing/2014/main" id="{AD0099FB-5256-3FF5-27E2-20973C90244D}"/>
              </a:ext>
            </a:extLst>
          </xdr:cNvPr>
          <xdr:cNvSpPr/>
        </xdr:nvSpPr>
        <xdr:spPr>
          <a:xfrm>
            <a:off x="1628855" y="5587813"/>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32" name="VBA_CLT_Board_2_4">
            <a:extLst>
              <a:ext uri="{FF2B5EF4-FFF2-40B4-BE49-F238E27FC236}">
                <a16:creationId xmlns:a16="http://schemas.microsoft.com/office/drawing/2014/main" id="{EC45033A-1F2E-9A7A-02D2-8D7FB6472ACC}"/>
              </a:ext>
            </a:extLst>
          </xdr:cNvPr>
          <xdr:cNvSpPr/>
        </xdr:nvSpPr>
        <xdr:spPr>
          <a:xfrm>
            <a:off x="2013057" y="5587813"/>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33" name="VBA_CLT_Board_2_5">
            <a:extLst>
              <a:ext uri="{FF2B5EF4-FFF2-40B4-BE49-F238E27FC236}">
                <a16:creationId xmlns:a16="http://schemas.microsoft.com/office/drawing/2014/main" id="{5D0AC0F8-1708-2723-42F4-3A4A4BC5096A}"/>
              </a:ext>
            </a:extLst>
          </xdr:cNvPr>
          <xdr:cNvSpPr/>
        </xdr:nvSpPr>
        <xdr:spPr>
          <a:xfrm>
            <a:off x="2397258" y="5587813"/>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34" name="VBA_CLT_Board_2_6">
            <a:extLst>
              <a:ext uri="{FF2B5EF4-FFF2-40B4-BE49-F238E27FC236}">
                <a16:creationId xmlns:a16="http://schemas.microsoft.com/office/drawing/2014/main" id="{6A43739E-8276-E00B-7768-A6F2D0170C3D}"/>
              </a:ext>
            </a:extLst>
          </xdr:cNvPr>
          <xdr:cNvSpPr/>
        </xdr:nvSpPr>
        <xdr:spPr>
          <a:xfrm>
            <a:off x="2781460" y="5587813"/>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35" name="VBA_CLT_Bordo">
            <a:extLst>
              <a:ext uri="{FF2B5EF4-FFF2-40B4-BE49-F238E27FC236}">
                <a16:creationId xmlns:a16="http://schemas.microsoft.com/office/drawing/2014/main" id="{199CE8F1-DA7B-FB9D-538C-CCEF980C54CE}"/>
              </a:ext>
            </a:extLst>
          </xdr:cNvPr>
          <xdr:cNvSpPr/>
        </xdr:nvSpPr>
        <xdr:spPr>
          <a:xfrm>
            <a:off x="476250" y="5419725"/>
            <a:ext cx="2689412" cy="268941"/>
          </a:xfrm>
          <a:prstGeom prst="rect">
            <a:avLst/>
          </a:prstGeom>
          <a:noFill/>
          <a:ln w="15875" cap="flat" cmpd="sng" algn="ctr">
            <a:solidFill>
              <a:srgbClr val="503C28"/>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36" name="VBA_Geometry_2">
            <a:extLst>
              <a:ext uri="{FF2B5EF4-FFF2-40B4-BE49-F238E27FC236}">
                <a16:creationId xmlns:a16="http://schemas.microsoft.com/office/drawing/2014/main" id="{DD39AA74-29DC-3A2C-434A-04CF3D62F1F2}"/>
              </a:ext>
            </a:extLst>
          </xdr:cNvPr>
          <xdr:cNvSpPr/>
        </xdr:nvSpPr>
        <xdr:spPr>
          <a:xfrm>
            <a:off x="1568824" y="5688666"/>
            <a:ext cx="504264" cy="874059"/>
          </a:xfrm>
          <a:prstGeom prst="rect">
            <a:avLst/>
          </a:prstGeom>
          <a:solidFill>
            <a:srgbClr val="C49A6C"/>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237" name="VBA_GL_Line_1">
            <a:extLst>
              <a:ext uri="{FF2B5EF4-FFF2-40B4-BE49-F238E27FC236}">
                <a16:creationId xmlns:a16="http://schemas.microsoft.com/office/drawing/2014/main" id="{935EAAC0-219D-F311-EB36-9335F0A15AF3}"/>
              </a:ext>
            </a:extLst>
          </xdr:cNvPr>
          <xdr:cNvCxnSpPr/>
        </xdr:nvCxnSpPr>
        <xdr:spPr>
          <a:xfrm>
            <a:off x="1568824" y="5834343"/>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5238" name="VBA_GL_Line_2">
            <a:extLst>
              <a:ext uri="{FF2B5EF4-FFF2-40B4-BE49-F238E27FC236}">
                <a16:creationId xmlns:a16="http://schemas.microsoft.com/office/drawing/2014/main" id="{898DC8E9-A506-16C6-1E72-2D1E0E89D7D0}"/>
              </a:ext>
            </a:extLst>
          </xdr:cNvPr>
          <xdr:cNvCxnSpPr/>
        </xdr:nvCxnSpPr>
        <xdr:spPr>
          <a:xfrm>
            <a:off x="1568824" y="5980019"/>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5239" name="VBA_GL_Line_3">
            <a:extLst>
              <a:ext uri="{FF2B5EF4-FFF2-40B4-BE49-F238E27FC236}">
                <a16:creationId xmlns:a16="http://schemas.microsoft.com/office/drawing/2014/main" id="{DF48A44E-4383-2EFD-6DE9-B1714D8E0731}"/>
              </a:ext>
            </a:extLst>
          </xdr:cNvPr>
          <xdr:cNvCxnSpPr/>
        </xdr:nvCxnSpPr>
        <xdr:spPr>
          <a:xfrm>
            <a:off x="1568824" y="6125695"/>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5240" name="VBA_GL_Line_4">
            <a:extLst>
              <a:ext uri="{FF2B5EF4-FFF2-40B4-BE49-F238E27FC236}">
                <a16:creationId xmlns:a16="http://schemas.microsoft.com/office/drawing/2014/main" id="{921A2F69-E5E5-0124-C52F-A3E87C9FE5FD}"/>
              </a:ext>
            </a:extLst>
          </xdr:cNvPr>
          <xdr:cNvCxnSpPr/>
        </xdr:nvCxnSpPr>
        <xdr:spPr>
          <a:xfrm>
            <a:off x="1568824" y="6271372"/>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5241" name="VBA_GL_Line_5">
            <a:extLst>
              <a:ext uri="{FF2B5EF4-FFF2-40B4-BE49-F238E27FC236}">
                <a16:creationId xmlns:a16="http://schemas.microsoft.com/office/drawing/2014/main" id="{4AF0B87B-708F-AB46-2963-17F1DD67426B}"/>
              </a:ext>
            </a:extLst>
          </xdr:cNvPr>
          <xdr:cNvCxnSpPr/>
        </xdr:nvCxnSpPr>
        <xdr:spPr>
          <a:xfrm>
            <a:off x="1568824" y="6417049"/>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5242" name="VBA_Quota_Line_22">
            <a:extLst>
              <a:ext uri="{FF2B5EF4-FFF2-40B4-BE49-F238E27FC236}">
                <a16:creationId xmlns:a16="http://schemas.microsoft.com/office/drawing/2014/main" id="{C9276753-02F4-A2C7-2E68-24EACB2356B7}"/>
              </a:ext>
            </a:extLst>
          </xdr:cNvPr>
          <xdr:cNvCxnSpPr/>
        </xdr:nvCxnSpPr>
        <xdr:spPr>
          <a:xfrm>
            <a:off x="247650" y="5419725"/>
            <a:ext cx="0" cy="268941"/>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243" name="VBA_Quota_Text_23">
            <a:extLst>
              <a:ext uri="{FF2B5EF4-FFF2-40B4-BE49-F238E27FC236}">
                <a16:creationId xmlns:a16="http://schemas.microsoft.com/office/drawing/2014/main" id="{BC800E2F-CDF6-81F4-D4DC-45BB4AFB696B}"/>
              </a:ext>
            </a:extLst>
          </xdr:cNvPr>
          <xdr:cNvSpPr txBox="1"/>
        </xdr:nvSpPr>
        <xdr:spPr>
          <a:xfrm>
            <a:off x="0" y="547164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h₁=80mm</a:t>
            </a:r>
          </a:p>
        </xdr:txBody>
      </xdr:sp>
      <xdr:cxnSp macro="">
        <xdr:nvCxnSpPr>
          <xdr:cNvPr id="5245" name="VBA_Quota_Line_24">
            <a:extLst>
              <a:ext uri="{FF2B5EF4-FFF2-40B4-BE49-F238E27FC236}">
                <a16:creationId xmlns:a16="http://schemas.microsoft.com/office/drawing/2014/main" id="{D4B1B275-028D-CC1C-67BF-3FA279268EAE}"/>
              </a:ext>
            </a:extLst>
          </xdr:cNvPr>
          <xdr:cNvCxnSpPr/>
        </xdr:nvCxnSpPr>
        <xdr:spPr>
          <a:xfrm>
            <a:off x="1340224" y="5688666"/>
            <a:ext cx="0" cy="874059"/>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247" name="VBA_Quota_Text_25">
            <a:extLst>
              <a:ext uri="{FF2B5EF4-FFF2-40B4-BE49-F238E27FC236}">
                <a16:creationId xmlns:a16="http://schemas.microsoft.com/office/drawing/2014/main" id="{DFAB6FE8-22ED-CADF-A02D-071DDBF5877D}"/>
              </a:ext>
            </a:extLst>
          </xdr:cNvPr>
          <xdr:cNvSpPr txBox="1"/>
        </xdr:nvSpPr>
        <xdr:spPr>
          <a:xfrm>
            <a:off x="679824" y="604314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h₂=260mm</a:t>
            </a:r>
          </a:p>
        </xdr:txBody>
      </xdr:sp>
      <xdr:cxnSp macro="">
        <xdr:nvCxnSpPr>
          <xdr:cNvPr id="5248" name="VBA_Quota_Line_26">
            <a:extLst>
              <a:ext uri="{FF2B5EF4-FFF2-40B4-BE49-F238E27FC236}">
                <a16:creationId xmlns:a16="http://schemas.microsoft.com/office/drawing/2014/main" id="{BCB45196-25DA-D3B9-D38B-A31D48398C82}"/>
              </a:ext>
            </a:extLst>
          </xdr:cNvPr>
          <xdr:cNvCxnSpPr/>
        </xdr:nvCxnSpPr>
        <xdr:spPr>
          <a:xfrm>
            <a:off x="476250" y="5191125"/>
            <a:ext cx="2689412"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249" name="VBA_Quota_Text_27">
            <a:extLst>
              <a:ext uri="{FF2B5EF4-FFF2-40B4-BE49-F238E27FC236}">
                <a16:creationId xmlns:a16="http://schemas.microsoft.com/office/drawing/2014/main" id="{CDCFE400-430A-134E-6FD4-312A4D64DAA5}"/>
              </a:ext>
            </a:extLst>
          </xdr:cNvPr>
          <xdr:cNvSpPr txBox="1"/>
        </xdr:nvSpPr>
        <xdr:spPr>
          <a:xfrm>
            <a:off x="1503456" y="500062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b₁=800mm</a:t>
            </a:r>
          </a:p>
        </xdr:txBody>
      </xdr:sp>
      <xdr:cxnSp macro="">
        <xdr:nvCxnSpPr>
          <xdr:cNvPr id="5250" name="VBA_Quota_Line_28">
            <a:extLst>
              <a:ext uri="{FF2B5EF4-FFF2-40B4-BE49-F238E27FC236}">
                <a16:creationId xmlns:a16="http://schemas.microsoft.com/office/drawing/2014/main" id="{A9770B91-9F93-2A4D-E6EE-C6C27E89B607}"/>
              </a:ext>
            </a:extLst>
          </xdr:cNvPr>
          <xdr:cNvCxnSpPr/>
        </xdr:nvCxnSpPr>
        <xdr:spPr>
          <a:xfrm>
            <a:off x="1568824" y="6791325"/>
            <a:ext cx="50426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251" name="VBA_Quota_Text_29">
            <a:extLst>
              <a:ext uri="{FF2B5EF4-FFF2-40B4-BE49-F238E27FC236}">
                <a16:creationId xmlns:a16="http://schemas.microsoft.com/office/drawing/2014/main" id="{F2CA8CC9-68FD-6A48-6CAF-05249FF9C392}"/>
              </a:ext>
            </a:extLst>
          </xdr:cNvPr>
          <xdr:cNvSpPr txBox="1"/>
        </xdr:nvSpPr>
        <xdr:spPr>
          <a:xfrm>
            <a:off x="1503456" y="660082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b₂=150mm</a:t>
            </a:r>
          </a:p>
        </xdr:txBody>
      </xdr:sp>
      <xdr:sp macro="" textlink="">
        <xdr:nvSpPr>
          <xdr:cNvPr id="5252" name="VBA_Circle_1_30">
            <a:extLst>
              <a:ext uri="{FF2B5EF4-FFF2-40B4-BE49-F238E27FC236}">
                <a16:creationId xmlns:a16="http://schemas.microsoft.com/office/drawing/2014/main" id="{5C369161-6348-DB83-BF41-ADB3E5CB9535}"/>
              </a:ext>
            </a:extLst>
          </xdr:cNvPr>
          <xdr:cNvSpPr/>
        </xdr:nvSpPr>
        <xdr:spPr>
          <a:xfrm>
            <a:off x="1719356" y="5452595"/>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1</a:t>
            </a:r>
          </a:p>
        </xdr:txBody>
      </xdr:sp>
      <xdr:sp macro="" textlink="">
        <xdr:nvSpPr>
          <xdr:cNvPr id="5253" name="VBA_Circle_2_31">
            <a:extLst>
              <a:ext uri="{FF2B5EF4-FFF2-40B4-BE49-F238E27FC236}">
                <a16:creationId xmlns:a16="http://schemas.microsoft.com/office/drawing/2014/main" id="{7C88C7D8-08E6-7A55-B4D0-C3C9228C60BB}"/>
              </a:ext>
            </a:extLst>
          </xdr:cNvPr>
          <xdr:cNvSpPr/>
        </xdr:nvSpPr>
        <xdr:spPr>
          <a:xfrm>
            <a:off x="1719356" y="6024095"/>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2</a:t>
            </a:r>
          </a:p>
        </xdr:txBody>
      </xdr:sp>
    </xdr:grpSp>
    <xdr:clientData/>
  </xdr:twoCellAnchor>
  <xdr:twoCellAnchor>
    <xdr:from>
      <xdr:col>1</xdr:col>
      <xdr:colOff>317500</xdr:colOff>
      <xdr:row>47</xdr:row>
      <xdr:rowOff>109008</xdr:rowOff>
    </xdr:from>
    <xdr:to>
      <xdr:col>5</xdr:col>
      <xdr:colOff>158750</xdr:colOff>
      <xdr:row>47</xdr:row>
      <xdr:rowOff>1414992</xdr:rowOff>
    </xdr:to>
    <xdr:grpSp>
      <xdr:nvGrpSpPr>
        <xdr:cNvPr id="5288" name="VBA_Support_Input_Group">
          <a:extLst>
            <a:ext uri="{FF2B5EF4-FFF2-40B4-BE49-F238E27FC236}">
              <a16:creationId xmlns:a16="http://schemas.microsoft.com/office/drawing/2014/main" id="{76DAAAA5-427A-D587-2261-11B92A759C92}"/>
            </a:ext>
          </a:extLst>
        </xdr:cNvPr>
        <xdr:cNvGrpSpPr>
          <a:grpSpLocks noChangeAspect="1"/>
        </xdr:cNvGrpSpPr>
      </xdr:nvGrpSpPr>
      <xdr:grpSpPr>
        <a:xfrm>
          <a:off x="412750" y="9129183"/>
          <a:ext cx="2698750" cy="1305984"/>
          <a:chOff x="412750" y="9049808"/>
          <a:chExt cx="2698750" cy="1305984"/>
        </a:xfrm>
      </xdr:grpSpPr>
      <xdr:sp macro="" textlink="">
        <xdr:nvSpPr>
          <xdr:cNvPr id="5255" name="VBA_Support_Input_CLT_B_0_0">
            <a:extLst>
              <a:ext uri="{FF2B5EF4-FFF2-40B4-BE49-F238E27FC236}">
                <a16:creationId xmlns:a16="http://schemas.microsoft.com/office/drawing/2014/main" id="{1155FAC7-3E43-565A-38BB-80E0A651BECA}"/>
              </a:ext>
            </a:extLst>
          </xdr:cNvPr>
          <xdr:cNvSpPr/>
        </xdr:nvSpPr>
        <xdr:spPr>
          <a:xfrm>
            <a:off x="412750" y="9337675"/>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56" name="VBA_Support_Input_CLT_B_0_1">
            <a:extLst>
              <a:ext uri="{FF2B5EF4-FFF2-40B4-BE49-F238E27FC236}">
                <a16:creationId xmlns:a16="http://schemas.microsoft.com/office/drawing/2014/main" id="{BAFB7331-E510-C129-79BD-311FC1F9CEC4}"/>
              </a:ext>
            </a:extLst>
          </xdr:cNvPr>
          <xdr:cNvSpPr/>
        </xdr:nvSpPr>
        <xdr:spPr>
          <a:xfrm>
            <a:off x="952500" y="9337675"/>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57" name="VBA_Support_Input_CLT_B_0_2">
            <a:extLst>
              <a:ext uri="{FF2B5EF4-FFF2-40B4-BE49-F238E27FC236}">
                <a16:creationId xmlns:a16="http://schemas.microsoft.com/office/drawing/2014/main" id="{D93D89C3-AE80-19B9-354A-6892BD45EB5D}"/>
              </a:ext>
            </a:extLst>
          </xdr:cNvPr>
          <xdr:cNvSpPr/>
        </xdr:nvSpPr>
        <xdr:spPr>
          <a:xfrm>
            <a:off x="1492250" y="9337675"/>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58" name="VBA_Support_Input_CLT_B_0_3">
            <a:extLst>
              <a:ext uri="{FF2B5EF4-FFF2-40B4-BE49-F238E27FC236}">
                <a16:creationId xmlns:a16="http://schemas.microsoft.com/office/drawing/2014/main" id="{5B023BFB-3224-7511-46A7-D36806174C24}"/>
              </a:ext>
            </a:extLst>
          </xdr:cNvPr>
          <xdr:cNvSpPr/>
        </xdr:nvSpPr>
        <xdr:spPr>
          <a:xfrm>
            <a:off x="2032000" y="9337675"/>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59" name="VBA_Support_Input_CLT_B_0_4">
            <a:extLst>
              <a:ext uri="{FF2B5EF4-FFF2-40B4-BE49-F238E27FC236}">
                <a16:creationId xmlns:a16="http://schemas.microsoft.com/office/drawing/2014/main" id="{05F6FC25-CDB5-6DF1-9A4B-8A75C176A8A7}"/>
              </a:ext>
            </a:extLst>
          </xdr:cNvPr>
          <xdr:cNvSpPr/>
        </xdr:nvSpPr>
        <xdr:spPr>
          <a:xfrm>
            <a:off x="2571750" y="9337675"/>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60" name="VBA_Support_Input_CLT_C_1">
            <a:extLst>
              <a:ext uri="{FF2B5EF4-FFF2-40B4-BE49-F238E27FC236}">
                <a16:creationId xmlns:a16="http://schemas.microsoft.com/office/drawing/2014/main" id="{4BDF2215-3AFA-815D-7423-CEDD55B0E1C1}"/>
              </a:ext>
            </a:extLst>
          </xdr:cNvPr>
          <xdr:cNvSpPr/>
        </xdr:nvSpPr>
        <xdr:spPr>
          <a:xfrm>
            <a:off x="412750" y="9472613"/>
            <a:ext cx="2698750" cy="89958"/>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61" name="VBA_Support_Input_CLT_B_2_0">
            <a:extLst>
              <a:ext uri="{FF2B5EF4-FFF2-40B4-BE49-F238E27FC236}">
                <a16:creationId xmlns:a16="http://schemas.microsoft.com/office/drawing/2014/main" id="{52683EE6-06CE-1923-C113-D54CF69A0C14}"/>
              </a:ext>
            </a:extLst>
          </xdr:cNvPr>
          <xdr:cNvSpPr/>
        </xdr:nvSpPr>
        <xdr:spPr>
          <a:xfrm>
            <a:off x="412750" y="9562571"/>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62" name="VBA_Support_Input_CLT_B_2_1">
            <a:extLst>
              <a:ext uri="{FF2B5EF4-FFF2-40B4-BE49-F238E27FC236}">
                <a16:creationId xmlns:a16="http://schemas.microsoft.com/office/drawing/2014/main" id="{3DEEB7A3-231D-15E3-E6CD-1B2DB1870368}"/>
              </a:ext>
            </a:extLst>
          </xdr:cNvPr>
          <xdr:cNvSpPr/>
        </xdr:nvSpPr>
        <xdr:spPr>
          <a:xfrm>
            <a:off x="952500" y="9562571"/>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63" name="VBA_Support_Input_CLT_B_2_2">
            <a:extLst>
              <a:ext uri="{FF2B5EF4-FFF2-40B4-BE49-F238E27FC236}">
                <a16:creationId xmlns:a16="http://schemas.microsoft.com/office/drawing/2014/main" id="{C5C94720-1A48-8021-3BBA-1FC912754F40}"/>
              </a:ext>
            </a:extLst>
          </xdr:cNvPr>
          <xdr:cNvSpPr/>
        </xdr:nvSpPr>
        <xdr:spPr>
          <a:xfrm>
            <a:off x="1492250" y="9562571"/>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64" name="VBA_Support_Input_CLT_B_2_3">
            <a:extLst>
              <a:ext uri="{FF2B5EF4-FFF2-40B4-BE49-F238E27FC236}">
                <a16:creationId xmlns:a16="http://schemas.microsoft.com/office/drawing/2014/main" id="{19115989-2FB7-BE03-3080-82D95D942B0A}"/>
              </a:ext>
            </a:extLst>
          </xdr:cNvPr>
          <xdr:cNvSpPr/>
        </xdr:nvSpPr>
        <xdr:spPr>
          <a:xfrm>
            <a:off x="2032000" y="9562571"/>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65" name="VBA_Support_Input_CLT_B_2_4">
            <a:extLst>
              <a:ext uri="{FF2B5EF4-FFF2-40B4-BE49-F238E27FC236}">
                <a16:creationId xmlns:a16="http://schemas.microsoft.com/office/drawing/2014/main" id="{8735AD9B-D825-A269-5AA3-2D274DE60F7A}"/>
              </a:ext>
            </a:extLst>
          </xdr:cNvPr>
          <xdr:cNvSpPr/>
        </xdr:nvSpPr>
        <xdr:spPr>
          <a:xfrm>
            <a:off x="2571750" y="9562571"/>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266" name="VBA_Support_Input_CLT_Sup">
            <a:extLst>
              <a:ext uri="{FF2B5EF4-FFF2-40B4-BE49-F238E27FC236}">
                <a16:creationId xmlns:a16="http://schemas.microsoft.com/office/drawing/2014/main" id="{0307414C-A993-34E1-D787-C62D3B1A27A1}"/>
              </a:ext>
            </a:extLst>
          </xdr:cNvPr>
          <xdr:cNvCxnSpPr/>
        </xdr:nvCxnSpPr>
        <xdr:spPr>
          <a:xfrm>
            <a:off x="412750" y="9337675"/>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5267" name="VBA_Support_Input_CLT_Inf">
            <a:extLst>
              <a:ext uri="{FF2B5EF4-FFF2-40B4-BE49-F238E27FC236}">
                <a16:creationId xmlns:a16="http://schemas.microsoft.com/office/drawing/2014/main" id="{431484A2-615A-BB60-293E-117CC5CD2084}"/>
              </a:ext>
            </a:extLst>
          </xdr:cNvPr>
          <xdr:cNvCxnSpPr/>
        </xdr:nvCxnSpPr>
        <xdr:spPr>
          <a:xfrm>
            <a:off x="412750" y="9697508"/>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5268" name="VBA_Support_Input_CLT_SX">
            <a:extLst>
              <a:ext uri="{FF2B5EF4-FFF2-40B4-BE49-F238E27FC236}">
                <a16:creationId xmlns:a16="http://schemas.microsoft.com/office/drawing/2014/main" id="{F417DFA5-7A55-998A-996A-D9C661511158}"/>
              </a:ext>
            </a:extLst>
          </xdr:cNvPr>
          <xdr:cNvCxnSpPr/>
        </xdr:nvCxnSpPr>
        <xdr:spPr>
          <a:xfrm>
            <a:off x="412750" y="9337675"/>
            <a:ext cx="0" cy="359833"/>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269" name="VBA_Support_Input_CLT_DX">
            <a:extLst>
              <a:ext uri="{FF2B5EF4-FFF2-40B4-BE49-F238E27FC236}">
                <a16:creationId xmlns:a16="http://schemas.microsoft.com/office/drawing/2014/main" id="{9CB2EEC8-D4AA-8D45-0466-21DF26876DC4}"/>
              </a:ext>
            </a:extLst>
          </xdr:cNvPr>
          <xdr:cNvCxnSpPr/>
        </xdr:nvCxnSpPr>
        <xdr:spPr>
          <a:xfrm>
            <a:off x="3111500" y="9337675"/>
            <a:ext cx="0" cy="359833"/>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5270" name="VBA_Support_Input_Trave">
            <a:extLst>
              <a:ext uri="{FF2B5EF4-FFF2-40B4-BE49-F238E27FC236}">
                <a16:creationId xmlns:a16="http://schemas.microsoft.com/office/drawing/2014/main" id="{A19E6EFE-D673-D382-CD41-42365E72A887}"/>
              </a:ext>
            </a:extLst>
          </xdr:cNvPr>
          <xdr:cNvSpPr/>
        </xdr:nvSpPr>
        <xdr:spPr>
          <a:xfrm>
            <a:off x="1424781" y="9697508"/>
            <a:ext cx="674688" cy="467783"/>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271" name="VBA_Support_Input_GL_L_1">
            <a:extLst>
              <a:ext uri="{FF2B5EF4-FFF2-40B4-BE49-F238E27FC236}">
                <a16:creationId xmlns:a16="http://schemas.microsoft.com/office/drawing/2014/main" id="{E58EC1C0-1589-4B5B-8DC1-D2EB46C35E92}"/>
              </a:ext>
            </a:extLst>
          </xdr:cNvPr>
          <xdr:cNvCxnSpPr/>
        </xdr:nvCxnSpPr>
        <xdr:spPr>
          <a:xfrm>
            <a:off x="1424781" y="9931400"/>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5272" name="VBA_Support_Input_Bordo_SX">
            <a:extLst>
              <a:ext uri="{FF2B5EF4-FFF2-40B4-BE49-F238E27FC236}">
                <a16:creationId xmlns:a16="http://schemas.microsoft.com/office/drawing/2014/main" id="{F5C20C1F-EFF0-363F-C194-0E837C8DBC8D}"/>
              </a:ext>
            </a:extLst>
          </xdr:cNvPr>
          <xdr:cNvCxnSpPr/>
        </xdr:nvCxnSpPr>
        <xdr:spPr>
          <a:xfrm>
            <a:off x="1424781" y="9697508"/>
            <a:ext cx="0" cy="467784"/>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5273" name="VBA_Support_Input_Bordo_DX">
            <a:extLst>
              <a:ext uri="{FF2B5EF4-FFF2-40B4-BE49-F238E27FC236}">
                <a16:creationId xmlns:a16="http://schemas.microsoft.com/office/drawing/2014/main" id="{32388258-1F96-A6A3-F5AA-F2633D85103C}"/>
              </a:ext>
            </a:extLst>
          </xdr:cNvPr>
          <xdr:cNvCxnSpPr/>
        </xdr:nvCxnSpPr>
        <xdr:spPr>
          <a:xfrm>
            <a:off x="2099469" y="9697508"/>
            <a:ext cx="0" cy="467784"/>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5274" name="VBA_Support_Input_Bordo_Sup">
            <a:extLst>
              <a:ext uri="{FF2B5EF4-FFF2-40B4-BE49-F238E27FC236}">
                <a16:creationId xmlns:a16="http://schemas.microsoft.com/office/drawing/2014/main" id="{341303DC-E02E-30F0-FAC5-FD63D09A1032}"/>
              </a:ext>
            </a:extLst>
          </xdr:cNvPr>
          <xdr:cNvCxnSpPr/>
        </xdr:nvCxnSpPr>
        <xdr:spPr>
          <a:xfrm>
            <a:off x="1424781" y="9697508"/>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5275" name="VBA_Support_Input_BordoTaglio">
            <a:extLst>
              <a:ext uri="{FF2B5EF4-FFF2-40B4-BE49-F238E27FC236}">
                <a16:creationId xmlns:a16="http://schemas.microsoft.com/office/drawing/2014/main" id="{BA9F64FA-4824-73AB-FCFC-D1C534528EB6}"/>
              </a:ext>
            </a:extLst>
          </xdr:cNvPr>
          <xdr:cNvCxnSpPr/>
        </xdr:nvCxnSpPr>
        <xdr:spPr>
          <a:xfrm>
            <a:off x="1424781" y="10165292"/>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5276" name="VBA_Support_Input_SharpMetal_1">
            <a:extLst>
              <a:ext uri="{FF2B5EF4-FFF2-40B4-BE49-F238E27FC236}">
                <a16:creationId xmlns:a16="http://schemas.microsoft.com/office/drawing/2014/main" id="{9B86530D-59B8-A14F-3D27-A009F78407E6}"/>
              </a:ext>
            </a:extLst>
          </xdr:cNvPr>
          <xdr:cNvSpPr/>
        </xdr:nvSpPr>
        <xdr:spPr>
          <a:xfrm>
            <a:off x="1537229" y="9679517"/>
            <a:ext cx="224896" cy="35983"/>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277" name="VBA_Support_Input_ViteTBS_1">
            <a:extLst>
              <a:ext uri="{FF2B5EF4-FFF2-40B4-BE49-F238E27FC236}">
                <a16:creationId xmlns:a16="http://schemas.microsoft.com/office/drawing/2014/main" id="{6D5BC007-5B31-A721-AD3B-650D16F02AA0}"/>
              </a:ext>
            </a:extLst>
          </xdr:cNvPr>
          <xdr:cNvCxnSpPr/>
        </xdr:nvCxnSpPr>
        <xdr:spPr>
          <a:xfrm>
            <a:off x="1649677" y="9337675"/>
            <a:ext cx="0" cy="782638"/>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5278" name="VBA_Support_Input_TestaTBS_1">
            <a:extLst>
              <a:ext uri="{FF2B5EF4-FFF2-40B4-BE49-F238E27FC236}">
                <a16:creationId xmlns:a16="http://schemas.microsoft.com/office/drawing/2014/main" id="{592DE69C-FED6-B70F-2B1E-DF23712450C4}"/>
              </a:ext>
            </a:extLst>
          </xdr:cNvPr>
          <xdr:cNvCxnSpPr/>
        </xdr:nvCxnSpPr>
        <xdr:spPr>
          <a:xfrm>
            <a:off x="1622690" y="9337675"/>
            <a:ext cx="53975"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sp macro="" textlink="">
        <xdr:nvSpPr>
          <xdr:cNvPr id="5279" name="VBA_Support_Input_SharpMetal_2">
            <a:extLst>
              <a:ext uri="{FF2B5EF4-FFF2-40B4-BE49-F238E27FC236}">
                <a16:creationId xmlns:a16="http://schemas.microsoft.com/office/drawing/2014/main" id="{D69A8695-5E2C-C90B-DA27-D4BB701EFBBD}"/>
              </a:ext>
            </a:extLst>
          </xdr:cNvPr>
          <xdr:cNvSpPr/>
        </xdr:nvSpPr>
        <xdr:spPr>
          <a:xfrm>
            <a:off x="1762125" y="9679517"/>
            <a:ext cx="224896" cy="35983"/>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280" name="VBA_Support_Input_ViteTBS_2">
            <a:extLst>
              <a:ext uri="{FF2B5EF4-FFF2-40B4-BE49-F238E27FC236}">
                <a16:creationId xmlns:a16="http://schemas.microsoft.com/office/drawing/2014/main" id="{D005709D-EE4D-ACF8-DFE0-F099AA313DC3}"/>
              </a:ext>
            </a:extLst>
          </xdr:cNvPr>
          <xdr:cNvCxnSpPr/>
        </xdr:nvCxnSpPr>
        <xdr:spPr>
          <a:xfrm>
            <a:off x="1874573" y="9337675"/>
            <a:ext cx="0" cy="782638"/>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5281" name="VBA_Support_Input_TestaTBS_2">
            <a:extLst>
              <a:ext uri="{FF2B5EF4-FFF2-40B4-BE49-F238E27FC236}">
                <a16:creationId xmlns:a16="http://schemas.microsoft.com/office/drawing/2014/main" id="{F6204CA4-CCEB-81DE-0E02-02B30077AA14}"/>
              </a:ext>
            </a:extLst>
          </xdr:cNvPr>
          <xdr:cNvCxnSpPr/>
        </xdr:nvCxnSpPr>
        <xdr:spPr>
          <a:xfrm>
            <a:off x="1847585" y="9337675"/>
            <a:ext cx="53975"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5282" name="VBA_Support_Input_QLine_27">
            <a:extLst>
              <a:ext uri="{FF2B5EF4-FFF2-40B4-BE49-F238E27FC236}">
                <a16:creationId xmlns:a16="http://schemas.microsoft.com/office/drawing/2014/main" id="{7DCA2059-2D22-96E7-8CF5-0783F2BC6A70}"/>
              </a:ext>
            </a:extLst>
          </xdr:cNvPr>
          <xdr:cNvCxnSpPr/>
        </xdr:nvCxnSpPr>
        <xdr:spPr>
          <a:xfrm>
            <a:off x="1537229" y="9588500"/>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283" name="VBA_Support_Input_QText_28">
            <a:extLst>
              <a:ext uri="{FF2B5EF4-FFF2-40B4-BE49-F238E27FC236}">
                <a16:creationId xmlns:a16="http://schemas.microsoft.com/office/drawing/2014/main" id="{C47C5DA7-E9D5-E2B9-8884-9D6B1B11F648}"/>
              </a:ext>
            </a:extLst>
          </xdr:cNvPr>
          <xdr:cNvSpPr txBox="1"/>
        </xdr:nvSpPr>
        <xdr:spPr>
          <a:xfrm>
            <a:off x="1300427" y="9436100"/>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5284" name="VBA_Support_Input_QLine_29">
            <a:extLst>
              <a:ext uri="{FF2B5EF4-FFF2-40B4-BE49-F238E27FC236}">
                <a16:creationId xmlns:a16="http://schemas.microsoft.com/office/drawing/2014/main" id="{E4BB07D9-95E8-9AA3-C8D5-029F656424BE}"/>
              </a:ext>
            </a:extLst>
          </xdr:cNvPr>
          <xdr:cNvCxnSpPr/>
        </xdr:nvCxnSpPr>
        <xdr:spPr>
          <a:xfrm>
            <a:off x="1987021" y="9202208"/>
            <a:ext cx="112448"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285" name="VBA_Support_Input_QText_30">
            <a:extLst>
              <a:ext uri="{FF2B5EF4-FFF2-40B4-BE49-F238E27FC236}">
                <a16:creationId xmlns:a16="http://schemas.microsoft.com/office/drawing/2014/main" id="{24B66EB5-FEA8-F8FD-A1F0-A5DEC9633C3C}"/>
              </a:ext>
            </a:extLst>
          </xdr:cNvPr>
          <xdr:cNvSpPr txBox="1"/>
        </xdr:nvSpPr>
        <xdr:spPr>
          <a:xfrm>
            <a:off x="1693995" y="9049808"/>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25 mm</a:t>
            </a:r>
          </a:p>
        </xdr:txBody>
      </xdr:sp>
      <xdr:cxnSp macro="">
        <xdr:nvCxnSpPr>
          <xdr:cNvPr id="5286" name="VBA_Support_Input_QLine_31">
            <a:extLst>
              <a:ext uri="{FF2B5EF4-FFF2-40B4-BE49-F238E27FC236}">
                <a16:creationId xmlns:a16="http://schemas.microsoft.com/office/drawing/2014/main" id="{0F0F1D4C-76D7-7EF4-1452-F2C16E9F715E}"/>
              </a:ext>
            </a:extLst>
          </xdr:cNvPr>
          <xdr:cNvCxnSpPr/>
        </xdr:nvCxnSpPr>
        <xdr:spPr>
          <a:xfrm>
            <a:off x="1424781" y="10355792"/>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287" name="VBA_Support_Input_QText_32">
            <a:extLst>
              <a:ext uri="{FF2B5EF4-FFF2-40B4-BE49-F238E27FC236}">
                <a16:creationId xmlns:a16="http://schemas.microsoft.com/office/drawing/2014/main" id="{07885598-AEC8-8572-7B38-7CDF6ADCD208}"/>
              </a:ext>
            </a:extLst>
          </xdr:cNvPr>
          <xdr:cNvSpPr txBox="1"/>
        </xdr:nvSpPr>
        <xdr:spPr>
          <a:xfrm>
            <a:off x="1187979" y="10203392"/>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50 mm</a:t>
            </a:r>
          </a:p>
        </xdr:txBody>
      </xdr:sp>
    </xdr:grpSp>
    <xdr:clientData/>
  </xdr:twoCellAnchor>
  <xdr:twoCellAnchor>
    <xdr:from>
      <xdr:col>7</xdr:col>
      <xdr:colOff>317500</xdr:colOff>
      <xdr:row>47</xdr:row>
      <xdr:rowOff>109008</xdr:rowOff>
    </xdr:from>
    <xdr:to>
      <xdr:col>11</xdr:col>
      <xdr:colOff>158750</xdr:colOff>
      <xdr:row>47</xdr:row>
      <xdr:rowOff>1414992</xdr:rowOff>
    </xdr:to>
    <xdr:grpSp>
      <xdr:nvGrpSpPr>
        <xdr:cNvPr id="5319" name="VBA_Midspan_Input_Group">
          <a:extLst>
            <a:ext uri="{FF2B5EF4-FFF2-40B4-BE49-F238E27FC236}">
              <a16:creationId xmlns:a16="http://schemas.microsoft.com/office/drawing/2014/main" id="{9E3EC4A3-2F65-5045-5ADA-4F61C410C779}"/>
            </a:ext>
          </a:extLst>
        </xdr:cNvPr>
        <xdr:cNvGrpSpPr>
          <a:grpSpLocks noChangeAspect="1"/>
        </xdr:cNvGrpSpPr>
      </xdr:nvGrpSpPr>
      <xdr:grpSpPr>
        <a:xfrm>
          <a:off x="4127500" y="9129183"/>
          <a:ext cx="2698750" cy="1305984"/>
          <a:chOff x="4127500" y="9049808"/>
          <a:chExt cx="2698750" cy="1305984"/>
        </a:xfrm>
      </xdr:grpSpPr>
      <xdr:sp macro="" textlink="">
        <xdr:nvSpPr>
          <xdr:cNvPr id="5289" name="VBA_Midspan_Input_CLT_B_0_0">
            <a:extLst>
              <a:ext uri="{FF2B5EF4-FFF2-40B4-BE49-F238E27FC236}">
                <a16:creationId xmlns:a16="http://schemas.microsoft.com/office/drawing/2014/main" id="{18168A3C-38EF-947A-460A-CBA4C1B5BFF7}"/>
              </a:ext>
            </a:extLst>
          </xdr:cNvPr>
          <xdr:cNvSpPr/>
        </xdr:nvSpPr>
        <xdr:spPr>
          <a:xfrm>
            <a:off x="4127500" y="9337675"/>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0" name="VBA_Midspan_Input_CLT_B_0_1">
            <a:extLst>
              <a:ext uri="{FF2B5EF4-FFF2-40B4-BE49-F238E27FC236}">
                <a16:creationId xmlns:a16="http://schemas.microsoft.com/office/drawing/2014/main" id="{CCD8A39F-7355-5F09-1788-B420ECA12E03}"/>
              </a:ext>
            </a:extLst>
          </xdr:cNvPr>
          <xdr:cNvSpPr/>
        </xdr:nvSpPr>
        <xdr:spPr>
          <a:xfrm>
            <a:off x="4667250" y="9337675"/>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1" name="VBA_Midspan_Input_CLT_B_0_2">
            <a:extLst>
              <a:ext uri="{FF2B5EF4-FFF2-40B4-BE49-F238E27FC236}">
                <a16:creationId xmlns:a16="http://schemas.microsoft.com/office/drawing/2014/main" id="{D5679E54-1083-1993-712E-85263B949AB4}"/>
              </a:ext>
            </a:extLst>
          </xdr:cNvPr>
          <xdr:cNvSpPr/>
        </xdr:nvSpPr>
        <xdr:spPr>
          <a:xfrm>
            <a:off x="5207000" y="9337675"/>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2" name="VBA_Midspan_Input_CLT_B_0_3">
            <a:extLst>
              <a:ext uri="{FF2B5EF4-FFF2-40B4-BE49-F238E27FC236}">
                <a16:creationId xmlns:a16="http://schemas.microsoft.com/office/drawing/2014/main" id="{BED88F16-3C69-E646-3405-257D382CDB65}"/>
              </a:ext>
            </a:extLst>
          </xdr:cNvPr>
          <xdr:cNvSpPr/>
        </xdr:nvSpPr>
        <xdr:spPr>
          <a:xfrm>
            <a:off x="5746750" y="9337675"/>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3" name="VBA_Midspan_Input_CLT_B_0_4">
            <a:extLst>
              <a:ext uri="{FF2B5EF4-FFF2-40B4-BE49-F238E27FC236}">
                <a16:creationId xmlns:a16="http://schemas.microsoft.com/office/drawing/2014/main" id="{3E9ACEE4-3B1C-11CA-4420-706ECEC02089}"/>
              </a:ext>
            </a:extLst>
          </xdr:cNvPr>
          <xdr:cNvSpPr/>
        </xdr:nvSpPr>
        <xdr:spPr>
          <a:xfrm>
            <a:off x="6286500" y="9337675"/>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4" name="VBA_Midspan_Input_CLT_C_1">
            <a:extLst>
              <a:ext uri="{FF2B5EF4-FFF2-40B4-BE49-F238E27FC236}">
                <a16:creationId xmlns:a16="http://schemas.microsoft.com/office/drawing/2014/main" id="{BC17A1FE-936F-3FB1-ECBC-F991DB264E68}"/>
              </a:ext>
            </a:extLst>
          </xdr:cNvPr>
          <xdr:cNvSpPr/>
        </xdr:nvSpPr>
        <xdr:spPr>
          <a:xfrm>
            <a:off x="4127500" y="9472613"/>
            <a:ext cx="2698750" cy="89958"/>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5" name="VBA_Midspan_Input_CLT_B_2_0">
            <a:extLst>
              <a:ext uri="{FF2B5EF4-FFF2-40B4-BE49-F238E27FC236}">
                <a16:creationId xmlns:a16="http://schemas.microsoft.com/office/drawing/2014/main" id="{AD5D6541-B525-4A9A-A5C5-9BDFEC8DA642}"/>
              </a:ext>
            </a:extLst>
          </xdr:cNvPr>
          <xdr:cNvSpPr/>
        </xdr:nvSpPr>
        <xdr:spPr>
          <a:xfrm>
            <a:off x="4127500" y="9562571"/>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6" name="VBA_Midspan_Input_CLT_B_2_1">
            <a:extLst>
              <a:ext uri="{FF2B5EF4-FFF2-40B4-BE49-F238E27FC236}">
                <a16:creationId xmlns:a16="http://schemas.microsoft.com/office/drawing/2014/main" id="{39C87DD5-D74E-6A99-73CB-C2B8C003330E}"/>
              </a:ext>
            </a:extLst>
          </xdr:cNvPr>
          <xdr:cNvSpPr/>
        </xdr:nvSpPr>
        <xdr:spPr>
          <a:xfrm>
            <a:off x="4667250" y="9562571"/>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7" name="VBA_Midspan_Input_CLT_B_2_2">
            <a:extLst>
              <a:ext uri="{FF2B5EF4-FFF2-40B4-BE49-F238E27FC236}">
                <a16:creationId xmlns:a16="http://schemas.microsoft.com/office/drawing/2014/main" id="{2B0E8E02-816A-7100-4EAB-22DA998342B6}"/>
              </a:ext>
            </a:extLst>
          </xdr:cNvPr>
          <xdr:cNvSpPr/>
        </xdr:nvSpPr>
        <xdr:spPr>
          <a:xfrm>
            <a:off x="5207000" y="9562571"/>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8" name="VBA_Midspan_Input_CLT_B_2_3">
            <a:extLst>
              <a:ext uri="{FF2B5EF4-FFF2-40B4-BE49-F238E27FC236}">
                <a16:creationId xmlns:a16="http://schemas.microsoft.com/office/drawing/2014/main" id="{98F04EA5-1D8B-F42B-1BDD-A8C476440744}"/>
              </a:ext>
            </a:extLst>
          </xdr:cNvPr>
          <xdr:cNvSpPr/>
        </xdr:nvSpPr>
        <xdr:spPr>
          <a:xfrm>
            <a:off x="5746750" y="9562571"/>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5299" name="VBA_Midspan_Input_CLT_B_2_4">
            <a:extLst>
              <a:ext uri="{FF2B5EF4-FFF2-40B4-BE49-F238E27FC236}">
                <a16:creationId xmlns:a16="http://schemas.microsoft.com/office/drawing/2014/main" id="{681C9D73-60FA-7AA8-E20D-0F1CDEE489B2}"/>
              </a:ext>
            </a:extLst>
          </xdr:cNvPr>
          <xdr:cNvSpPr/>
        </xdr:nvSpPr>
        <xdr:spPr>
          <a:xfrm>
            <a:off x="6286500" y="9562571"/>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300" name="VBA_Midspan_Input_CLT_Sup">
            <a:extLst>
              <a:ext uri="{FF2B5EF4-FFF2-40B4-BE49-F238E27FC236}">
                <a16:creationId xmlns:a16="http://schemas.microsoft.com/office/drawing/2014/main" id="{E586603A-0403-77F7-0999-E34F3FB0358E}"/>
              </a:ext>
            </a:extLst>
          </xdr:cNvPr>
          <xdr:cNvCxnSpPr/>
        </xdr:nvCxnSpPr>
        <xdr:spPr>
          <a:xfrm>
            <a:off x="4127500" y="9337675"/>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5301" name="VBA_Midspan_Input_CLT_Inf">
            <a:extLst>
              <a:ext uri="{FF2B5EF4-FFF2-40B4-BE49-F238E27FC236}">
                <a16:creationId xmlns:a16="http://schemas.microsoft.com/office/drawing/2014/main" id="{E957F2D4-492E-2CFC-9712-05E627286F13}"/>
              </a:ext>
            </a:extLst>
          </xdr:cNvPr>
          <xdr:cNvCxnSpPr/>
        </xdr:nvCxnSpPr>
        <xdr:spPr>
          <a:xfrm>
            <a:off x="4127500" y="9697508"/>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5302" name="VBA_Midspan_Input_CLT_SX">
            <a:extLst>
              <a:ext uri="{FF2B5EF4-FFF2-40B4-BE49-F238E27FC236}">
                <a16:creationId xmlns:a16="http://schemas.microsoft.com/office/drawing/2014/main" id="{F7BDBD04-0470-3EAF-A4A0-14365376A89C}"/>
              </a:ext>
            </a:extLst>
          </xdr:cNvPr>
          <xdr:cNvCxnSpPr/>
        </xdr:nvCxnSpPr>
        <xdr:spPr>
          <a:xfrm>
            <a:off x="4127500" y="9337675"/>
            <a:ext cx="0" cy="359833"/>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303" name="VBA_Midspan_Input_CLT_DX">
            <a:extLst>
              <a:ext uri="{FF2B5EF4-FFF2-40B4-BE49-F238E27FC236}">
                <a16:creationId xmlns:a16="http://schemas.microsoft.com/office/drawing/2014/main" id="{8DBD55A2-08EC-3B0B-C862-A700E077029E}"/>
              </a:ext>
            </a:extLst>
          </xdr:cNvPr>
          <xdr:cNvCxnSpPr/>
        </xdr:nvCxnSpPr>
        <xdr:spPr>
          <a:xfrm>
            <a:off x="6826250" y="9337675"/>
            <a:ext cx="0" cy="359833"/>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5304" name="VBA_Midspan_Input_Trave">
            <a:extLst>
              <a:ext uri="{FF2B5EF4-FFF2-40B4-BE49-F238E27FC236}">
                <a16:creationId xmlns:a16="http://schemas.microsoft.com/office/drawing/2014/main" id="{D121532C-0B92-A1C2-E606-3389A062FEE5}"/>
              </a:ext>
            </a:extLst>
          </xdr:cNvPr>
          <xdr:cNvSpPr/>
        </xdr:nvSpPr>
        <xdr:spPr>
          <a:xfrm>
            <a:off x="5139531" y="9697508"/>
            <a:ext cx="674688" cy="467783"/>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305" name="VBA_Midspan_Input_GL_L_1">
            <a:extLst>
              <a:ext uri="{FF2B5EF4-FFF2-40B4-BE49-F238E27FC236}">
                <a16:creationId xmlns:a16="http://schemas.microsoft.com/office/drawing/2014/main" id="{9DBCAF19-B44A-1EF8-7837-349F823FEA3E}"/>
              </a:ext>
            </a:extLst>
          </xdr:cNvPr>
          <xdr:cNvCxnSpPr/>
        </xdr:nvCxnSpPr>
        <xdr:spPr>
          <a:xfrm>
            <a:off x="5139531" y="9931400"/>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5306" name="VBA_Midspan_Input_Bordo_SX">
            <a:extLst>
              <a:ext uri="{FF2B5EF4-FFF2-40B4-BE49-F238E27FC236}">
                <a16:creationId xmlns:a16="http://schemas.microsoft.com/office/drawing/2014/main" id="{C3D87B45-1A5B-1AAA-24B8-638AA1099A09}"/>
              </a:ext>
            </a:extLst>
          </xdr:cNvPr>
          <xdr:cNvCxnSpPr/>
        </xdr:nvCxnSpPr>
        <xdr:spPr>
          <a:xfrm>
            <a:off x="5139531" y="9697508"/>
            <a:ext cx="0" cy="467784"/>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5307" name="VBA_Midspan_Input_Bordo_DX">
            <a:extLst>
              <a:ext uri="{FF2B5EF4-FFF2-40B4-BE49-F238E27FC236}">
                <a16:creationId xmlns:a16="http://schemas.microsoft.com/office/drawing/2014/main" id="{154BA105-5048-F119-B5B7-EB76BDB384D9}"/>
              </a:ext>
            </a:extLst>
          </xdr:cNvPr>
          <xdr:cNvCxnSpPr/>
        </xdr:nvCxnSpPr>
        <xdr:spPr>
          <a:xfrm>
            <a:off x="5814219" y="9697508"/>
            <a:ext cx="0" cy="467784"/>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5308" name="VBA_Midspan_Input_Bordo_Sup">
            <a:extLst>
              <a:ext uri="{FF2B5EF4-FFF2-40B4-BE49-F238E27FC236}">
                <a16:creationId xmlns:a16="http://schemas.microsoft.com/office/drawing/2014/main" id="{4FF75369-FFF6-F1BC-C58F-1FF0A5E9EA94}"/>
              </a:ext>
            </a:extLst>
          </xdr:cNvPr>
          <xdr:cNvCxnSpPr/>
        </xdr:nvCxnSpPr>
        <xdr:spPr>
          <a:xfrm>
            <a:off x="5139531" y="9697508"/>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5309" name="VBA_Midspan_Input_BordoTaglio">
            <a:extLst>
              <a:ext uri="{FF2B5EF4-FFF2-40B4-BE49-F238E27FC236}">
                <a16:creationId xmlns:a16="http://schemas.microsoft.com/office/drawing/2014/main" id="{4AE0A9CD-2EDD-D6AD-DF94-FF3B587DCE80}"/>
              </a:ext>
            </a:extLst>
          </xdr:cNvPr>
          <xdr:cNvCxnSpPr/>
        </xdr:nvCxnSpPr>
        <xdr:spPr>
          <a:xfrm>
            <a:off x="5139531" y="10165292"/>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5310" name="VBA_Midspan_Input_SharpMetal_1">
            <a:extLst>
              <a:ext uri="{FF2B5EF4-FFF2-40B4-BE49-F238E27FC236}">
                <a16:creationId xmlns:a16="http://schemas.microsoft.com/office/drawing/2014/main" id="{D5D84DEA-657E-0298-9572-DDA59B825B29}"/>
              </a:ext>
            </a:extLst>
          </xdr:cNvPr>
          <xdr:cNvSpPr/>
        </xdr:nvSpPr>
        <xdr:spPr>
          <a:xfrm>
            <a:off x="5364427" y="9679517"/>
            <a:ext cx="224896" cy="35983"/>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5311" name="VBA_Midspan_Input_ViteTBS_1">
            <a:extLst>
              <a:ext uri="{FF2B5EF4-FFF2-40B4-BE49-F238E27FC236}">
                <a16:creationId xmlns:a16="http://schemas.microsoft.com/office/drawing/2014/main" id="{A6F4E199-A623-9BB7-7478-362467418566}"/>
              </a:ext>
            </a:extLst>
          </xdr:cNvPr>
          <xdr:cNvCxnSpPr/>
        </xdr:nvCxnSpPr>
        <xdr:spPr>
          <a:xfrm>
            <a:off x="5476875" y="9337675"/>
            <a:ext cx="0" cy="782638"/>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5312" name="VBA_Midspan_Input_TestaTBS_1">
            <a:extLst>
              <a:ext uri="{FF2B5EF4-FFF2-40B4-BE49-F238E27FC236}">
                <a16:creationId xmlns:a16="http://schemas.microsoft.com/office/drawing/2014/main" id="{75F3A5AE-B2EF-437B-6C57-24B6D1D44A34}"/>
              </a:ext>
            </a:extLst>
          </xdr:cNvPr>
          <xdr:cNvCxnSpPr/>
        </xdr:nvCxnSpPr>
        <xdr:spPr>
          <a:xfrm>
            <a:off x="5449888" y="9337675"/>
            <a:ext cx="53975"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5313" name="VBA_Midspan_Input_QLine_24">
            <a:extLst>
              <a:ext uri="{FF2B5EF4-FFF2-40B4-BE49-F238E27FC236}">
                <a16:creationId xmlns:a16="http://schemas.microsoft.com/office/drawing/2014/main" id="{677C7AC8-7DC7-D00B-0768-6FD9B0BF694F}"/>
              </a:ext>
            </a:extLst>
          </xdr:cNvPr>
          <xdr:cNvCxnSpPr/>
        </xdr:nvCxnSpPr>
        <xdr:spPr>
          <a:xfrm>
            <a:off x="5364427" y="9588500"/>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314" name="VBA_Midspan_Input_QText_25">
            <a:extLst>
              <a:ext uri="{FF2B5EF4-FFF2-40B4-BE49-F238E27FC236}">
                <a16:creationId xmlns:a16="http://schemas.microsoft.com/office/drawing/2014/main" id="{48EF0AAF-16B4-CE60-7FB1-211F5979D371}"/>
              </a:ext>
            </a:extLst>
          </xdr:cNvPr>
          <xdr:cNvSpPr txBox="1"/>
        </xdr:nvSpPr>
        <xdr:spPr>
          <a:xfrm>
            <a:off x="5127625" y="9436100"/>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5315" name="VBA_Midspan_Input_QLine_26">
            <a:extLst>
              <a:ext uri="{FF2B5EF4-FFF2-40B4-BE49-F238E27FC236}">
                <a16:creationId xmlns:a16="http://schemas.microsoft.com/office/drawing/2014/main" id="{F08358F1-DC3D-A148-72DD-683A5FCEF6AC}"/>
              </a:ext>
            </a:extLst>
          </xdr:cNvPr>
          <xdr:cNvCxnSpPr/>
        </xdr:nvCxnSpPr>
        <xdr:spPr>
          <a:xfrm>
            <a:off x="5589323" y="9202208"/>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316" name="VBA_Midspan_Input_QText_27">
            <a:extLst>
              <a:ext uri="{FF2B5EF4-FFF2-40B4-BE49-F238E27FC236}">
                <a16:creationId xmlns:a16="http://schemas.microsoft.com/office/drawing/2014/main" id="{5B9ACC9B-EDDE-9FFE-1283-CD5DD1605AD9}"/>
              </a:ext>
            </a:extLst>
          </xdr:cNvPr>
          <xdr:cNvSpPr txBox="1"/>
        </xdr:nvSpPr>
        <xdr:spPr>
          <a:xfrm>
            <a:off x="5352521" y="9049808"/>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25 mm</a:t>
            </a:r>
          </a:p>
        </xdr:txBody>
      </xdr:sp>
      <xdr:cxnSp macro="">
        <xdr:nvCxnSpPr>
          <xdr:cNvPr id="5317" name="VBA_Midspan_Input_QLine_28">
            <a:extLst>
              <a:ext uri="{FF2B5EF4-FFF2-40B4-BE49-F238E27FC236}">
                <a16:creationId xmlns:a16="http://schemas.microsoft.com/office/drawing/2014/main" id="{B18DEBA2-E100-4C84-1DD6-A6C1CFDAC39C}"/>
              </a:ext>
            </a:extLst>
          </xdr:cNvPr>
          <xdr:cNvCxnSpPr/>
        </xdr:nvCxnSpPr>
        <xdr:spPr>
          <a:xfrm>
            <a:off x="5139531" y="10355792"/>
            <a:ext cx="33734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5318" name="VBA_Midspan_Input_QText_29">
            <a:extLst>
              <a:ext uri="{FF2B5EF4-FFF2-40B4-BE49-F238E27FC236}">
                <a16:creationId xmlns:a16="http://schemas.microsoft.com/office/drawing/2014/main" id="{A40ABA65-9E00-9722-9AE0-74690BF600E3}"/>
              </a:ext>
            </a:extLst>
          </xdr:cNvPr>
          <xdr:cNvSpPr txBox="1"/>
        </xdr:nvSpPr>
        <xdr:spPr>
          <a:xfrm>
            <a:off x="4958953" y="10203392"/>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75 mm</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335</xdr:colOff>
      <xdr:row>0</xdr:row>
      <xdr:rowOff>0</xdr:rowOff>
    </xdr:from>
    <xdr:to>
      <xdr:col>3</xdr:col>
      <xdr:colOff>19050</xdr:colOff>
      <xdr:row>1</xdr:row>
      <xdr:rowOff>3475</xdr:rowOff>
    </xdr:to>
    <xdr:pic macro="[0]!ExportPDF">
      <xdr:nvPicPr>
        <xdr:cNvPr id="4" name="Picture 3" descr="Download with solid fill">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1234775" y="0"/>
          <a:ext cx="574975" cy="574975"/>
        </a:xfrm>
        <a:prstGeom prst="rect">
          <a:avLst/>
        </a:prstGeom>
      </xdr:spPr>
    </xdr:pic>
    <xdr:clientData fPrintsWithSheet="0"/>
  </xdr:twoCellAnchor>
  <xdr:twoCellAnchor editAs="absolute">
    <xdr:from>
      <xdr:col>3</xdr:col>
      <xdr:colOff>15722</xdr:colOff>
      <xdr:row>0</xdr:row>
      <xdr:rowOff>0</xdr:rowOff>
    </xdr:from>
    <xdr:to>
      <xdr:col>4</xdr:col>
      <xdr:colOff>20294</xdr:colOff>
      <xdr:row>1</xdr:row>
      <xdr:rowOff>19812</xdr:rowOff>
    </xdr:to>
    <xdr:pic macro="[0]!SaveDoc">
      <xdr:nvPicPr>
        <xdr:cNvPr id="5" name="Picture 5245" descr="Disk with solid fill">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flipH="1">
          <a:off x="1814042" y="0"/>
          <a:ext cx="570357" cy="576072"/>
        </a:xfrm>
        <a:prstGeom prst="rect">
          <a:avLst/>
        </a:prstGeom>
      </xdr:spPr>
    </xdr:pic>
    <xdr:clientData fPrintsWithSheet="0"/>
  </xdr:twoCellAnchor>
  <xdr:oneCellAnchor>
    <xdr:from>
      <xdr:col>1</xdr:col>
      <xdr:colOff>1</xdr:colOff>
      <xdr:row>13</xdr:row>
      <xdr:rowOff>0</xdr:rowOff>
    </xdr:from>
    <xdr:ext cx="7056782" cy="289891"/>
    <mc:AlternateContent xmlns:mc="http://schemas.openxmlformats.org/markup-compatibility/2006" xmlns:a14="http://schemas.microsoft.com/office/drawing/2010/main">
      <mc:Choice Requires="a14">
        <xdr:sp macro="" textlink="">
          <xdr:nvSpPr>
            <xdr:cNvPr id="124" name="CasellaDiTesto 2">
              <a:extLst>
                <a:ext uri="{FF2B5EF4-FFF2-40B4-BE49-F238E27FC236}">
                  <a16:creationId xmlns:a16="http://schemas.microsoft.com/office/drawing/2014/main" id="{00000000-0008-0000-0400-00007C000000}"/>
                </a:ext>
              </a:extLst>
            </xdr:cNvPr>
            <xdr:cNvSpPr txBox="1"/>
          </xdr:nvSpPr>
          <xdr:spPr>
            <a:xfrm>
              <a:off x="95251" y="1000125"/>
              <a:ext cx="7056782" cy="289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 xmlns:m="http://schemas.openxmlformats.org/officeDocument/2006/math">
                  <m:f>
                    <m:fPr>
                      <m:type m:val="skw"/>
                      <m:ctrlPr>
                        <a:rPr lang="it-IT" sz="1100" b="0" i="1">
                          <a:latin typeface="Cambria Math" panose="02040503050406030204" pitchFamily="18" charset="0"/>
                        </a:rPr>
                      </m:ctrlPr>
                    </m:fPr>
                    <m:num>
                      <m:sSub>
                        <m:sSubPr>
                          <m:ctrlPr>
                            <a:rPr lang="it-IT" sz="1100" b="0" i="1">
                              <a:latin typeface="Cambria Math"/>
                            </a:rPr>
                          </m:ctrlPr>
                        </m:sSubPr>
                        <m:e>
                          <m:r>
                            <a:rPr lang="it-IT" sz="1100" b="0" i="1">
                              <a:latin typeface="Cambria Math"/>
                            </a:rPr>
                            <m:t>𝑆</m:t>
                          </m:r>
                        </m:e>
                        <m:sub>
                          <m:r>
                            <a:rPr lang="it-IT" sz="1100" b="0" i="1">
                              <a:latin typeface="Cambria Math"/>
                            </a:rPr>
                            <m:t>𝑑</m:t>
                          </m:r>
                        </m:sub>
                      </m:sSub>
                    </m:num>
                    <m:den>
                      <m:sSub>
                        <m:sSubPr>
                          <m:ctrlPr>
                            <a:rPr lang="it-IT" sz="1100" b="0" i="1">
                              <a:latin typeface="Cambria Math"/>
                            </a:rPr>
                          </m:ctrlPr>
                        </m:sSubPr>
                        <m:e>
                          <m:r>
                            <a:rPr lang="it-IT" sz="1100" b="0" i="1">
                              <a:latin typeface="Cambria Math"/>
                            </a:rPr>
                            <m:t>𝑅</m:t>
                          </m:r>
                        </m:e>
                        <m:sub>
                          <m:r>
                            <a:rPr lang="it-IT" sz="1100" b="0" i="1">
                              <a:latin typeface="Cambria Math"/>
                            </a:rPr>
                            <m:t>𝑑</m:t>
                          </m:r>
                        </m:sub>
                      </m:sSub>
                    </m:den>
                  </m:f>
                  <m:r>
                    <a:rPr lang="it-IT" sz="1100" b="0" i="1">
                      <a:latin typeface="Cambria Math"/>
                      <a:ea typeface="Cambria Math"/>
                    </a:rPr>
                    <m:t>≤1</m:t>
                  </m:r>
                </m:oMath>
              </a14:m>
              <a:r>
                <a:rPr lang="it-IT" sz="1100"/>
                <a:t>00%</a:t>
              </a:r>
            </a:p>
          </xdr:txBody>
        </xdr:sp>
      </mc:Choice>
      <mc:Fallback xmlns="">
        <xdr:sp macro="" textlink="">
          <xdr:nvSpPr>
            <xdr:cNvPr id="124" name="CasellaDiTesto 2">
              <a:extLst>
                <a:ext uri="{FF2B5EF4-FFF2-40B4-BE49-F238E27FC236}">
                  <a16:creationId xmlns:a16="http://schemas.microsoft.com/office/drawing/2014/main" id="{8BCB1945-4257-4827-AF22-7A1EB8AC426A}"/>
                </a:ext>
              </a:extLst>
            </xdr:cNvPr>
            <xdr:cNvSpPr txBox="1"/>
          </xdr:nvSpPr>
          <xdr:spPr>
            <a:xfrm>
              <a:off x="95251" y="1000125"/>
              <a:ext cx="7056782" cy="289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a:rPr>
                <a:t>𝑆</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a:t>
              </a:r>
              <a:r>
                <a:rPr lang="it-IT" sz="1100" b="0" i="0">
                  <a:latin typeface="Cambria Math"/>
                </a:rPr>
                <a:t>𝑅</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 </a:t>
              </a:r>
              <a:r>
                <a:rPr lang="it-IT" sz="1100" b="0" i="0">
                  <a:latin typeface="Cambria Math"/>
                  <a:ea typeface="Cambria Math"/>
                </a:rPr>
                <a:t>≤1</a:t>
              </a:r>
              <a:r>
                <a:rPr lang="it-IT" sz="1100"/>
                <a:t>00%</a:t>
              </a:r>
            </a:p>
          </xdr:txBody>
        </xdr:sp>
      </mc:Fallback>
    </mc:AlternateContent>
    <xdr:clientData/>
  </xdr:oneCellAnchor>
  <xdr:oneCellAnchor>
    <xdr:from>
      <xdr:col>1</xdr:col>
      <xdr:colOff>1</xdr:colOff>
      <xdr:row>28</xdr:row>
      <xdr:rowOff>1</xdr:rowOff>
    </xdr:from>
    <xdr:ext cx="7056782" cy="289892"/>
    <mc:AlternateContent xmlns:mc="http://schemas.openxmlformats.org/markup-compatibility/2006" xmlns:a14="http://schemas.microsoft.com/office/drawing/2010/main">
      <mc:Choice Requires="a14">
        <xdr:sp macro="" textlink="">
          <xdr:nvSpPr>
            <xdr:cNvPr id="128" name="CasellaDiTesto 2">
              <a:extLst>
                <a:ext uri="{FF2B5EF4-FFF2-40B4-BE49-F238E27FC236}">
                  <a16:creationId xmlns:a16="http://schemas.microsoft.com/office/drawing/2014/main" id="{00000000-0008-0000-0400-000080000000}"/>
                </a:ext>
              </a:extLst>
            </xdr:cNvPr>
            <xdr:cNvSpPr txBox="1"/>
          </xdr:nvSpPr>
          <xdr:spPr>
            <a:xfrm>
              <a:off x="95251" y="3238501"/>
              <a:ext cx="7056782" cy="289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 xmlns:m="http://schemas.openxmlformats.org/officeDocument/2006/math">
                  <m:f>
                    <m:fPr>
                      <m:type m:val="skw"/>
                      <m:ctrlPr>
                        <a:rPr lang="it-IT" sz="1100" b="0" i="1">
                          <a:latin typeface="Cambria Math" panose="02040503050406030204" pitchFamily="18" charset="0"/>
                        </a:rPr>
                      </m:ctrlPr>
                    </m:fPr>
                    <m:num>
                      <m:sSub>
                        <m:sSubPr>
                          <m:ctrlPr>
                            <a:rPr lang="it-IT" sz="1100" b="0" i="1">
                              <a:latin typeface="Cambria Math"/>
                            </a:rPr>
                          </m:ctrlPr>
                        </m:sSubPr>
                        <m:e>
                          <m:r>
                            <a:rPr lang="it-IT" sz="1100" b="0" i="1">
                              <a:latin typeface="Cambria Math"/>
                            </a:rPr>
                            <m:t>𝑆</m:t>
                          </m:r>
                        </m:e>
                        <m:sub>
                          <m:r>
                            <a:rPr lang="it-IT" sz="1100" b="0" i="1">
                              <a:latin typeface="Cambria Math"/>
                            </a:rPr>
                            <m:t>𝑑</m:t>
                          </m:r>
                        </m:sub>
                      </m:sSub>
                    </m:num>
                    <m:den>
                      <m:sSub>
                        <m:sSubPr>
                          <m:ctrlPr>
                            <a:rPr lang="it-IT" sz="1100" b="0" i="1">
                              <a:latin typeface="Cambria Math"/>
                            </a:rPr>
                          </m:ctrlPr>
                        </m:sSubPr>
                        <m:e>
                          <m:r>
                            <a:rPr lang="it-IT" sz="1100" b="0" i="1">
                              <a:latin typeface="Cambria Math"/>
                            </a:rPr>
                            <m:t>𝑅</m:t>
                          </m:r>
                        </m:e>
                        <m:sub>
                          <m:r>
                            <a:rPr lang="it-IT" sz="1100" b="0" i="1">
                              <a:latin typeface="Cambria Math"/>
                            </a:rPr>
                            <m:t>𝑑</m:t>
                          </m:r>
                        </m:sub>
                      </m:sSub>
                    </m:den>
                  </m:f>
                  <m:r>
                    <a:rPr lang="it-IT" sz="1100" b="0" i="1">
                      <a:latin typeface="Cambria Math"/>
                      <a:ea typeface="Cambria Math"/>
                    </a:rPr>
                    <m:t>≤1</m:t>
                  </m:r>
                </m:oMath>
              </a14:m>
              <a:r>
                <a:rPr lang="it-IT" sz="1100"/>
                <a:t>00%</a:t>
              </a:r>
            </a:p>
          </xdr:txBody>
        </xdr:sp>
      </mc:Choice>
      <mc:Fallback xmlns="">
        <xdr:sp macro="" textlink="">
          <xdr:nvSpPr>
            <xdr:cNvPr id="128" name="CasellaDiTesto 2">
              <a:extLst>
                <a:ext uri="{FF2B5EF4-FFF2-40B4-BE49-F238E27FC236}">
                  <a16:creationId xmlns:a16="http://schemas.microsoft.com/office/drawing/2014/main" id="{A2296E02-D7D3-42EA-9F51-A89D478180C1}"/>
                </a:ext>
              </a:extLst>
            </xdr:cNvPr>
            <xdr:cNvSpPr txBox="1"/>
          </xdr:nvSpPr>
          <xdr:spPr>
            <a:xfrm>
              <a:off x="95251" y="3238501"/>
              <a:ext cx="7056782" cy="289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a:rPr>
                <a:t>𝑆</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a:t>
              </a:r>
              <a:r>
                <a:rPr lang="it-IT" sz="1100" b="0" i="0">
                  <a:latin typeface="Cambria Math"/>
                </a:rPr>
                <a:t>𝑅</a:t>
              </a:r>
              <a:r>
                <a:rPr lang="it-IT" sz="1100" b="0" i="0">
                  <a:latin typeface="Cambria Math" panose="02040503050406030204" pitchFamily="18" charset="0"/>
                </a:rPr>
                <a:t>_</a:t>
              </a:r>
              <a:r>
                <a:rPr lang="it-IT" sz="1100" b="0" i="0">
                  <a:latin typeface="Cambria Math"/>
                </a:rPr>
                <a:t>𝑑</a:t>
              </a:r>
              <a:r>
                <a:rPr lang="it-IT" sz="1100" b="0" i="0">
                  <a:latin typeface="Cambria Math" panose="02040503050406030204" pitchFamily="18" charset="0"/>
                </a:rPr>
                <a:t> </a:t>
              </a:r>
              <a:r>
                <a:rPr lang="it-IT" sz="1100" b="0" i="0">
                  <a:latin typeface="Cambria Math"/>
                  <a:ea typeface="Cambria Math"/>
                </a:rPr>
                <a:t>≤1</a:t>
              </a:r>
              <a:r>
                <a:rPr lang="it-IT" sz="1100"/>
                <a:t>00%</a:t>
              </a:r>
            </a:p>
          </xdr:txBody>
        </xdr:sp>
      </mc:Fallback>
    </mc:AlternateContent>
    <xdr:clientData/>
  </xdr:oneCellAnchor>
  <xdr:oneCellAnchor>
    <xdr:from>
      <xdr:col>1</xdr:col>
      <xdr:colOff>0</xdr:colOff>
      <xdr:row>50</xdr:row>
      <xdr:rowOff>0</xdr:rowOff>
    </xdr:from>
    <xdr:ext cx="7056782" cy="273326"/>
    <mc:AlternateContent xmlns:mc="http://schemas.openxmlformats.org/markup-compatibility/2006" xmlns:a14="http://schemas.microsoft.com/office/drawing/2010/main">
      <mc:Choice Requires="a14">
        <xdr:sp macro="" textlink="">
          <xdr:nvSpPr>
            <xdr:cNvPr id="135" name="CasellaDiTesto 2">
              <a:extLst>
                <a:ext uri="{FF2B5EF4-FFF2-40B4-BE49-F238E27FC236}">
                  <a16:creationId xmlns:a16="http://schemas.microsoft.com/office/drawing/2014/main" id="{00000000-0008-0000-0400-000087000000}"/>
                </a:ext>
              </a:extLst>
            </xdr:cNvPr>
            <xdr:cNvSpPr txBox="1"/>
          </xdr:nvSpPr>
          <xdr:spPr>
            <a:xfrm>
              <a:off x="95250" y="6513635"/>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𝑞</m:t>
                        </m:r>
                        <m:r>
                          <a:rPr lang="it-IT" sz="1100" b="0" i="1">
                            <a:latin typeface="Cambria Math" panose="02040503050406030204" pitchFamily="18" charset="0"/>
                          </a:rPr>
                          <m:t>,</m:t>
                        </m:r>
                        <m:r>
                          <a:rPr lang="it-IT" sz="1100" b="0" i="1">
                            <a:latin typeface="Cambria Math" panose="02040503050406030204" pitchFamily="18" charset="0"/>
                          </a:rPr>
                          <m:t>𝑖𝑛𝑠𝑡</m:t>
                        </m:r>
                      </m:sub>
                    </m:sSub>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𝑢</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35" name="CasellaDiTesto 2">
              <a:extLst>
                <a:ext uri="{FF2B5EF4-FFF2-40B4-BE49-F238E27FC236}">
                  <a16:creationId xmlns:a16="http://schemas.microsoft.com/office/drawing/2014/main" id="{5B0E4D94-3024-40BE-8897-DA899D2A5158}"/>
                </a:ext>
              </a:extLst>
            </xdr:cNvPr>
            <xdr:cNvSpPr txBox="1"/>
          </xdr:nvSpPr>
          <xdr:spPr>
            <a:xfrm>
              <a:off x="95250" y="6513635"/>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𝑢_(𝑞,𝑖𝑛𝑠𝑡)</a:t>
              </a:r>
              <a:r>
                <a:rPr lang="it-IT" sz="1100" b="0" i="0">
                  <a:latin typeface="Cambria Math"/>
                  <a:ea typeface="Cambria Math"/>
                </a:rPr>
                <a:t>≤</a:t>
              </a:r>
              <a:r>
                <a:rPr lang="it-IT" sz="1100" b="0" i="0">
                  <a:latin typeface="Cambria Math" panose="02040503050406030204" pitchFamily="18" charset="0"/>
                  <a:ea typeface="Cambria Math"/>
                </a:rPr>
                <a:t>𝑢_𝑙𝑖𝑚</a:t>
              </a:r>
              <a:endParaRPr lang="it-IT" sz="1100"/>
            </a:p>
          </xdr:txBody>
        </xdr:sp>
      </mc:Fallback>
    </mc:AlternateContent>
    <xdr:clientData/>
  </xdr:oneCellAnchor>
  <xdr:oneCellAnchor>
    <xdr:from>
      <xdr:col>1</xdr:col>
      <xdr:colOff>1</xdr:colOff>
      <xdr:row>58</xdr:row>
      <xdr:rowOff>1</xdr:rowOff>
    </xdr:from>
    <xdr:ext cx="7056782" cy="273326"/>
    <mc:AlternateContent xmlns:mc="http://schemas.openxmlformats.org/markup-compatibility/2006" xmlns:a14="http://schemas.microsoft.com/office/drawing/2010/main">
      <mc:Choice Requires="a14">
        <xdr:sp macro="" textlink="">
          <xdr:nvSpPr>
            <xdr:cNvPr id="136" name="CasellaDiTesto 2">
              <a:extLst>
                <a:ext uri="{FF2B5EF4-FFF2-40B4-BE49-F238E27FC236}">
                  <a16:creationId xmlns:a16="http://schemas.microsoft.com/office/drawing/2014/main" id="{00000000-0008-0000-0400-000088000000}"/>
                </a:ext>
              </a:extLst>
            </xdr:cNvPr>
            <xdr:cNvSpPr txBox="1"/>
          </xdr:nvSpPr>
          <xdr:spPr>
            <a:xfrm>
              <a:off x="95251" y="7762876"/>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𝑢</m:t>
                        </m:r>
                      </m:e>
                      <m:sub>
                        <m:r>
                          <a:rPr lang="it-IT" sz="1100" b="0" i="1">
                            <a:latin typeface="Cambria Math" panose="02040503050406030204" pitchFamily="18" charset="0"/>
                          </a:rPr>
                          <m:t>𝑓𝑖𝑛</m:t>
                        </m:r>
                      </m:sub>
                    </m:sSub>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𝑢</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36" name="CasellaDiTesto 2">
              <a:extLst>
                <a:ext uri="{FF2B5EF4-FFF2-40B4-BE49-F238E27FC236}">
                  <a16:creationId xmlns:a16="http://schemas.microsoft.com/office/drawing/2014/main" id="{EFE5D52E-BCBE-4896-9B22-C49005D35E53}"/>
                </a:ext>
              </a:extLst>
            </xdr:cNvPr>
            <xdr:cNvSpPr txBox="1"/>
          </xdr:nvSpPr>
          <xdr:spPr>
            <a:xfrm>
              <a:off x="95251" y="7762876"/>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𝑢_𝑓𝑖𝑛</a:t>
              </a:r>
              <a:r>
                <a:rPr lang="it-IT" sz="1100" b="0" i="0">
                  <a:latin typeface="Cambria Math"/>
                  <a:ea typeface="Cambria Math"/>
                </a:rPr>
                <a:t>≤</a:t>
              </a:r>
              <a:r>
                <a:rPr lang="it-IT" sz="1100" b="0" i="0">
                  <a:latin typeface="Cambria Math" panose="02040503050406030204" pitchFamily="18" charset="0"/>
                  <a:ea typeface="Cambria Math"/>
                </a:rPr>
                <a:t>𝑢_𝑙𝑖𝑚</a:t>
              </a:r>
              <a:endParaRPr lang="it-IT" sz="1100"/>
            </a:p>
          </xdr:txBody>
        </xdr:sp>
      </mc:Fallback>
    </mc:AlternateContent>
    <xdr:clientData/>
  </xdr:oneCellAnchor>
  <xdr:oneCellAnchor>
    <xdr:from>
      <xdr:col>1</xdr:col>
      <xdr:colOff>1</xdr:colOff>
      <xdr:row>68</xdr:row>
      <xdr:rowOff>1</xdr:rowOff>
    </xdr:from>
    <xdr:ext cx="7056782" cy="273326"/>
    <mc:AlternateContent xmlns:mc="http://schemas.openxmlformats.org/markup-compatibility/2006" xmlns:a14="http://schemas.microsoft.com/office/drawing/2010/main">
      <mc:Choice Requires="a14">
        <xdr:sp macro="" textlink="">
          <xdr:nvSpPr>
            <xdr:cNvPr id="147" name="CasellaDiTesto 2">
              <a:extLst>
                <a:ext uri="{FF2B5EF4-FFF2-40B4-BE49-F238E27FC236}">
                  <a16:creationId xmlns:a16="http://schemas.microsoft.com/office/drawing/2014/main" id="{00000000-0008-0000-0400-000093000000}"/>
                </a:ext>
              </a:extLst>
            </xdr:cNvPr>
            <xdr:cNvSpPr txBox="1"/>
          </xdr:nvSpPr>
          <xdr:spPr>
            <a:xfrm>
              <a:off x="95251" y="90297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
                    <m:r>
                      <a:rPr lang="it-IT" sz="1100" b="0" i="1">
                        <a:latin typeface="Cambria Math" panose="02040503050406030204" pitchFamily="18" charset="0"/>
                      </a:rPr>
                      <m:t>𝑤</m:t>
                    </m:r>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𝑤</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47" name="CasellaDiTesto 2">
              <a:extLst>
                <a:ext uri="{FF2B5EF4-FFF2-40B4-BE49-F238E27FC236}">
                  <a16:creationId xmlns:a16="http://schemas.microsoft.com/office/drawing/2014/main" id="{275F9339-BC79-4C86-8214-735BA9110E43}"/>
                </a:ext>
              </a:extLst>
            </xdr:cNvPr>
            <xdr:cNvSpPr txBox="1"/>
          </xdr:nvSpPr>
          <xdr:spPr>
            <a:xfrm>
              <a:off x="95251" y="90297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𝑤</a:t>
              </a:r>
              <a:r>
                <a:rPr lang="it-IT" sz="1100" b="0" i="0">
                  <a:latin typeface="Cambria Math"/>
                  <a:ea typeface="Cambria Math"/>
                </a:rPr>
                <a:t>≤</a:t>
              </a:r>
              <a:r>
                <a:rPr lang="it-IT" sz="1100" b="0" i="0">
                  <a:latin typeface="Cambria Math" panose="02040503050406030204" pitchFamily="18" charset="0"/>
                  <a:ea typeface="Cambria Math"/>
                </a:rPr>
                <a:t>𝑤_𝑙𝑖𝑚</a:t>
              </a:r>
              <a:endParaRPr lang="it-IT" sz="1100"/>
            </a:p>
          </xdr:txBody>
        </xdr:sp>
      </mc:Fallback>
    </mc:AlternateContent>
    <xdr:clientData/>
  </xdr:oneCellAnchor>
  <xdr:oneCellAnchor>
    <xdr:from>
      <xdr:col>1</xdr:col>
      <xdr:colOff>1</xdr:colOff>
      <xdr:row>76</xdr:row>
      <xdr:rowOff>1</xdr:rowOff>
    </xdr:from>
    <xdr:ext cx="7056782" cy="273326"/>
    <mc:AlternateContent xmlns:mc="http://schemas.openxmlformats.org/markup-compatibility/2006" xmlns:a14="http://schemas.microsoft.com/office/drawing/2010/main">
      <mc:Choice Requires="a14">
        <xdr:sp macro="" textlink="">
          <xdr:nvSpPr>
            <xdr:cNvPr id="148" name="CasellaDiTesto 2">
              <a:extLst>
                <a:ext uri="{FF2B5EF4-FFF2-40B4-BE49-F238E27FC236}">
                  <a16:creationId xmlns:a16="http://schemas.microsoft.com/office/drawing/2014/main" id="{00000000-0008-0000-0400-000094000000}"/>
                </a:ext>
              </a:extLst>
            </xdr:cNvPr>
            <xdr:cNvSpPr txBox="1"/>
          </xdr:nvSpPr>
          <xdr:spPr>
            <a:xfrm>
              <a:off x="95251" y="102489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14:m>
                <m:oMathPara xmlns:m="http://schemas.openxmlformats.org/officeDocument/2006/math">
                  <m:oMath>
                    <m:r>
                      <a:rPr lang="it-IT" sz="1100" b="0" i="1">
                        <a:latin typeface="Cambria Math" panose="02040503050406030204" pitchFamily="18" charset="0"/>
                      </a:rPr>
                      <m:t>𝑣</m:t>
                    </m:r>
                    <m:r>
                      <a:rPr lang="it-IT" sz="1100" b="0" i="1">
                        <a:latin typeface="Cambria Math"/>
                        <a:ea typeface="Cambria Math"/>
                      </a:rPr>
                      <m:t>≤</m:t>
                    </m:r>
                    <m:sSub>
                      <m:sSubPr>
                        <m:ctrlPr>
                          <a:rPr lang="it-IT" sz="1100" b="0" i="1">
                            <a:latin typeface="Cambria Math" panose="02040503050406030204" pitchFamily="18" charset="0"/>
                            <a:ea typeface="Cambria Math"/>
                          </a:rPr>
                        </m:ctrlPr>
                      </m:sSubPr>
                      <m:e>
                        <m:r>
                          <a:rPr lang="it-IT" sz="1100" b="0" i="1">
                            <a:latin typeface="Cambria Math" panose="02040503050406030204" pitchFamily="18" charset="0"/>
                            <a:ea typeface="Cambria Math"/>
                          </a:rPr>
                          <m:t>𝑣</m:t>
                        </m:r>
                      </m:e>
                      <m:sub>
                        <m:r>
                          <a:rPr lang="it-IT" sz="1100" b="0" i="1">
                            <a:latin typeface="Cambria Math" panose="02040503050406030204" pitchFamily="18" charset="0"/>
                            <a:ea typeface="Cambria Math"/>
                          </a:rPr>
                          <m:t>𝑙𝑖𝑚</m:t>
                        </m:r>
                      </m:sub>
                    </m:sSub>
                  </m:oMath>
                </m:oMathPara>
              </a14:m>
              <a:endParaRPr lang="it-IT" sz="1100"/>
            </a:p>
          </xdr:txBody>
        </xdr:sp>
      </mc:Choice>
      <mc:Fallback xmlns="">
        <xdr:sp macro="" textlink="">
          <xdr:nvSpPr>
            <xdr:cNvPr id="148" name="CasellaDiTesto 2">
              <a:extLst>
                <a:ext uri="{FF2B5EF4-FFF2-40B4-BE49-F238E27FC236}">
                  <a16:creationId xmlns:a16="http://schemas.microsoft.com/office/drawing/2014/main" id="{1A30DA39-8E4E-4597-82A0-36BD3C98E5D0}"/>
                </a:ext>
              </a:extLst>
            </xdr:cNvPr>
            <xdr:cNvSpPr txBox="1"/>
          </xdr:nvSpPr>
          <xdr:spPr>
            <a:xfrm>
              <a:off x="95251" y="10248901"/>
              <a:ext cx="7056782" cy="27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it-IT" sz="1100" b="0" i="0">
                  <a:latin typeface="Cambria Math" panose="02040503050406030204" pitchFamily="18" charset="0"/>
                </a:rPr>
                <a:t>𝑣</a:t>
              </a:r>
              <a:r>
                <a:rPr lang="it-IT" sz="1100" b="0" i="0">
                  <a:latin typeface="Cambria Math"/>
                  <a:ea typeface="Cambria Math"/>
                </a:rPr>
                <a:t>≤</a:t>
              </a:r>
              <a:r>
                <a:rPr lang="it-IT" sz="1100" b="0" i="0">
                  <a:latin typeface="Cambria Math" panose="02040503050406030204" pitchFamily="18" charset="0"/>
                  <a:ea typeface="Cambria Math"/>
                </a:rPr>
                <a:t>𝑣_𝑙𝑖𝑚</a:t>
              </a:r>
              <a:endParaRPr lang="it-IT"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4</xdr:col>
      <xdr:colOff>476250</xdr:colOff>
      <xdr:row>368</xdr:row>
      <xdr:rowOff>9525</xdr:rowOff>
    </xdr:from>
    <xdr:to>
      <xdr:col>5</xdr:col>
      <xdr:colOff>142875</xdr:colOff>
      <xdr:row>373</xdr:row>
      <xdr:rowOff>9525</xdr:rowOff>
    </xdr:to>
    <xdr:sp macro="" textlink="">
      <xdr:nvSpPr>
        <xdr:cNvPr id="2137" name="Parentesi graffa chiusa 1">
          <a:extLst>
            <a:ext uri="{FF2B5EF4-FFF2-40B4-BE49-F238E27FC236}">
              <a16:creationId xmlns:a16="http://schemas.microsoft.com/office/drawing/2014/main" id="{00000000-0008-0000-0500-000059080000}"/>
            </a:ext>
          </a:extLst>
        </xdr:cNvPr>
        <xdr:cNvSpPr>
          <a:spLocks/>
        </xdr:cNvSpPr>
      </xdr:nvSpPr>
      <xdr:spPr bwMode="auto">
        <a:xfrm>
          <a:off x="3562350" y="60998100"/>
          <a:ext cx="219075" cy="809625"/>
        </a:xfrm>
        <a:prstGeom prst="rightBrace">
          <a:avLst>
            <a:gd name="adj1" fmla="val 913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552450</xdr:colOff>
      <xdr:row>424</xdr:row>
      <xdr:rowOff>28575</xdr:rowOff>
    </xdr:from>
    <xdr:to>
      <xdr:col>5</xdr:col>
      <xdr:colOff>209550</xdr:colOff>
      <xdr:row>430</xdr:row>
      <xdr:rowOff>142875</xdr:rowOff>
    </xdr:to>
    <xdr:sp macro="" textlink="">
      <xdr:nvSpPr>
        <xdr:cNvPr id="2138" name="Parentesi graffa chiusa 2">
          <a:extLst>
            <a:ext uri="{FF2B5EF4-FFF2-40B4-BE49-F238E27FC236}">
              <a16:creationId xmlns:a16="http://schemas.microsoft.com/office/drawing/2014/main" id="{00000000-0008-0000-0500-00005A080000}"/>
            </a:ext>
          </a:extLst>
        </xdr:cNvPr>
        <xdr:cNvSpPr>
          <a:spLocks/>
        </xdr:cNvSpPr>
      </xdr:nvSpPr>
      <xdr:spPr bwMode="auto">
        <a:xfrm>
          <a:off x="3638550" y="68818125"/>
          <a:ext cx="209550" cy="1085850"/>
        </a:xfrm>
        <a:prstGeom prst="rightBrace">
          <a:avLst>
            <a:gd name="adj1" fmla="val 959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518</xdr:row>
      <xdr:rowOff>9525</xdr:rowOff>
    </xdr:from>
    <xdr:to>
      <xdr:col>5</xdr:col>
      <xdr:colOff>161925</xdr:colOff>
      <xdr:row>523</xdr:row>
      <xdr:rowOff>9525</xdr:rowOff>
    </xdr:to>
    <xdr:sp macro="" textlink="">
      <xdr:nvSpPr>
        <xdr:cNvPr id="2139" name="Parentesi graffa chiusa 140">
          <a:extLst>
            <a:ext uri="{FF2B5EF4-FFF2-40B4-BE49-F238E27FC236}">
              <a16:creationId xmlns:a16="http://schemas.microsoft.com/office/drawing/2014/main" id="{00000000-0008-0000-0500-00005B080000}"/>
            </a:ext>
          </a:extLst>
        </xdr:cNvPr>
        <xdr:cNvSpPr>
          <a:spLocks/>
        </xdr:cNvSpPr>
      </xdr:nvSpPr>
      <xdr:spPr bwMode="auto">
        <a:xfrm>
          <a:off x="3590925" y="81572100"/>
          <a:ext cx="209550" cy="809625"/>
        </a:xfrm>
        <a:prstGeom prst="rightBrace">
          <a:avLst>
            <a:gd name="adj1" fmla="val 9641"/>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557487</xdr:colOff>
      <xdr:row>573</xdr:row>
      <xdr:rowOff>44822</xdr:rowOff>
    </xdr:from>
    <xdr:to>
      <xdr:col>5</xdr:col>
      <xdr:colOff>214587</xdr:colOff>
      <xdr:row>580</xdr:row>
      <xdr:rowOff>2241</xdr:rowOff>
    </xdr:to>
    <xdr:sp macro="" textlink="">
      <xdr:nvSpPr>
        <xdr:cNvPr id="96" name="Parentesi graffa chiusa 2">
          <a:extLst>
            <a:ext uri="{FF2B5EF4-FFF2-40B4-BE49-F238E27FC236}">
              <a16:creationId xmlns:a16="http://schemas.microsoft.com/office/drawing/2014/main" id="{00000000-0008-0000-0500-000060000000}"/>
            </a:ext>
          </a:extLst>
        </xdr:cNvPr>
        <xdr:cNvSpPr>
          <a:spLocks/>
        </xdr:cNvSpPr>
      </xdr:nvSpPr>
      <xdr:spPr bwMode="auto">
        <a:xfrm>
          <a:off x="3874428" y="101603734"/>
          <a:ext cx="251012" cy="1055595"/>
        </a:xfrm>
        <a:prstGeom prst="rightBrace">
          <a:avLst>
            <a:gd name="adj1" fmla="val 959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667</xdr:row>
      <xdr:rowOff>9525</xdr:rowOff>
    </xdr:from>
    <xdr:to>
      <xdr:col>5</xdr:col>
      <xdr:colOff>161925</xdr:colOff>
      <xdr:row>672</xdr:row>
      <xdr:rowOff>9525</xdr:rowOff>
    </xdr:to>
    <xdr:sp macro="" textlink="">
      <xdr:nvSpPr>
        <xdr:cNvPr id="99" name="Parentesi graffa chiusa 140">
          <a:extLst>
            <a:ext uri="{FF2B5EF4-FFF2-40B4-BE49-F238E27FC236}">
              <a16:creationId xmlns:a16="http://schemas.microsoft.com/office/drawing/2014/main" id="{00000000-0008-0000-0500-000063000000}"/>
            </a:ext>
          </a:extLst>
        </xdr:cNvPr>
        <xdr:cNvSpPr>
          <a:spLocks/>
        </xdr:cNvSpPr>
      </xdr:nvSpPr>
      <xdr:spPr bwMode="auto">
        <a:xfrm>
          <a:off x="3821766" y="94475113"/>
          <a:ext cx="251012" cy="784412"/>
        </a:xfrm>
        <a:prstGeom prst="rightBrace">
          <a:avLst>
            <a:gd name="adj1" fmla="val 9641"/>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557487</xdr:colOff>
      <xdr:row>724</xdr:row>
      <xdr:rowOff>44822</xdr:rowOff>
    </xdr:from>
    <xdr:to>
      <xdr:col>5</xdr:col>
      <xdr:colOff>214587</xdr:colOff>
      <xdr:row>731</xdr:row>
      <xdr:rowOff>2241</xdr:rowOff>
    </xdr:to>
    <xdr:sp macro="" textlink="">
      <xdr:nvSpPr>
        <xdr:cNvPr id="117" name="Parentesi graffa chiusa 2">
          <a:extLst>
            <a:ext uri="{FF2B5EF4-FFF2-40B4-BE49-F238E27FC236}">
              <a16:creationId xmlns:a16="http://schemas.microsoft.com/office/drawing/2014/main" id="{00000000-0008-0000-0500-000075000000}"/>
            </a:ext>
          </a:extLst>
        </xdr:cNvPr>
        <xdr:cNvSpPr>
          <a:spLocks/>
        </xdr:cNvSpPr>
      </xdr:nvSpPr>
      <xdr:spPr bwMode="auto">
        <a:xfrm>
          <a:off x="3874428" y="101603734"/>
          <a:ext cx="251012" cy="1055595"/>
        </a:xfrm>
        <a:prstGeom prst="rightBrace">
          <a:avLst>
            <a:gd name="adj1" fmla="val 959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495300</xdr:colOff>
      <xdr:row>996</xdr:row>
      <xdr:rowOff>66675</xdr:rowOff>
    </xdr:from>
    <xdr:to>
      <xdr:col>8</xdr:col>
      <xdr:colOff>209860</xdr:colOff>
      <xdr:row>1011</xdr:row>
      <xdr:rowOff>17229</xdr:rowOff>
    </xdr:to>
    <xdr:pic>
      <xdr:nvPicPr>
        <xdr:cNvPr id="9" name="Immagine 6" hidden="1">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1" cstate="print"/>
        <a:stretch>
          <a:fillRect/>
        </a:stretch>
      </xdr:blipFill>
      <xdr:spPr>
        <a:xfrm>
          <a:off x="495300" y="188337825"/>
          <a:ext cx="5048250" cy="206672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209550</xdr:colOff>
          <xdr:row>335</xdr:row>
          <xdr:rowOff>152400</xdr:rowOff>
        </xdr:from>
        <xdr:to>
          <xdr:col>5</xdr:col>
          <xdr:colOff>66675</xdr:colOff>
          <xdr:row>338</xdr:row>
          <xdr:rowOff>161925</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500-000008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341</xdr:row>
          <xdr:rowOff>152400</xdr:rowOff>
        </xdr:from>
        <xdr:to>
          <xdr:col>5</xdr:col>
          <xdr:colOff>28575</xdr:colOff>
          <xdr:row>345</xdr:row>
          <xdr:rowOff>19050</xdr:rowOff>
        </xdr:to>
        <xdr:sp macro="" textlink="">
          <xdr:nvSpPr>
            <xdr:cNvPr id="2057" name="Object 9" hidden="1">
              <a:extLst>
                <a:ext uri="{63B3BB69-23CF-44E3-9099-C40C66FF867C}">
                  <a14:compatExt spid="_x0000_s2057"/>
                </a:ext>
                <a:ext uri="{FF2B5EF4-FFF2-40B4-BE49-F238E27FC236}">
                  <a16:creationId xmlns:a16="http://schemas.microsoft.com/office/drawing/2014/main" id="{00000000-0008-0000-0500-000009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396</xdr:row>
          <xdr:rowOff>114300</xdr:rowOff>
        </xdr:from>
        <xdr:to>
          <xdr:col>5</xdr:col>
          <xdr:colOff>38100</xdr:colOff>
          <xdr:row>399</xdr:row>
          <xdr:rowOff>123825</xdr:rowOff>
        </xdr:to>
        <xdr:sp macro="" textlink="">
          <xdr:nvSpPr>
            <xdr:cNvPr id="2058" name="Object 10" hidden="1">
              <a:extLst>
                <a:ext uri="{63B3BB69-23CF-44E3-9099-C40C66FF867C}">
                  <a14:compatExt spid="_x0000_s2058"/>
                </a:ext>
                <a:ext uri="{FF2B5EF4-FFF2-40B4-BE49-F238E27FC236}">
                  <a16:creationId xmlns:a16="http://schemas.microsoft.com/office/drawing/2014/main" id="{00000000-0008-0000-0500-00000A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402</xdr:row>
          <xdr:rowOff>19050</xdr:rowOff>
        </xdr:from>
        <xdr:to>
          <xdr:col>5</xdr:col>
          <xdr:colOff>66675</xdr:colOff>
          <xdr:row>405</xdr:row>
          <xdr:rowOff>57150</xdr:rowOff>
        </xdr:to>
        <xdr:sp macro="" textlink="">
          <xdr:nvSpPr>
            <xdr:cNvPr id="2059" name="Object 11" hidden="1">
              <a:extLst>
                <a:ext uri="{63B3BB69-23CF-44E3-9099-C40C66FF867C}">
                  <a14:compatExt spid="_x0000_s2059"/>
                </a:ext>
                <a:ext uri="{FF2B5EF4-FFF2-40B4-BE49-F238E27FC236}">
                  <a16:creationId xmlns:a16="http://schemas.microsoft.com/office/drawing/2014/main" id="{00000000-0008-0000-0500-00000B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407</xdr:row>
          <xdr:rowOff>152400</xdr:rowOff>
        </xdr:from>
        <xdr:to>
          <xdr:col>4</xdr:col>
          <xdr:colOff>504825</xdr:colOff>
          <xdr:row>411</xdr:row>
          <xdr:rowOff>9525</xdr:rowOff>
        </xdr:to>
        <xdr:sp macro="" textlink="">
          <xdr:nvSpPr>
            <xdr:cNvPr id="2060" name="Object 12" hidden="1">
              <a:extLst>
                <a:ext uri="{63B3BB69-23CF-44E3-9099-C40C66FF867C}">
                  <a14:compatExt spid="_x0000_s2060"/>
                </a:ext>
                <a:ext uri="{FF2B5EF4-FFF2-40B4-BE49-F238E27FC236}">
                  <a16:creationId xmlns:a16="http://schemas.microsoft.com/office/drawing/2014/main" id="{00000000-0008-0000-0500-00000C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411</xdr:row>
          <xdr:rowOff>9525</xdr:rowOff>
        </xdr:from>
        <xdr:to>
          <xdr:col>4</xdr:col>
          <xdr:colOff>514350</xdr:colOff>
          <xdr:row>413</xdr:row>
          <xdr:rowOff>161925</xdr:rowOff>
        </xdr:to>
        <xdr:sp macro="" textlink="">
          <xdr:nvSpPr>
            <xdr:cNvPr id="2061" name="Object 13" hidden="1">
              <a:extLst>
                <a:ext uri="{63B3BB69-23CF-44E3-9099-C40C66FF867C}">
                  <a14:compatExt spid="_x0000_s2061"/>
                </a:ext>
                <a:ext uri="{FF2B5EF4-FFF2-40B4-BE49-F238E27FC236}">
                  <a16:creationId xmlns:a16="http://schemas.microsoft.com/office/drawing/2014/main" id="{00000000-0008-0000-0500-00000D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1200150</xdr:colOff>
          <xdr:row>418</xdr:row>
          <xdr:rowOff>9525</xdr:rowOff>
        </xdr:from>
        <xdr:to>
          <xdr:col>3</xdr:col>
          <xdr:colOff>552450</xdr:colOff>
          <xdr:row>421</xdr:row>
          <xdr:rowOff>0</xdr:rowOff>
        </xdr:to>
        <xdr:sp macro="" textlink="">
          <xdr:nvSpPr>
            <xdr:cNvPr id="2062" name="Object 14" hidden="1">
              <a:extLst>
                <a:ext uri="{63B3BB69-23CF-44E3-9099-C40C66FF867C}">
                  <a14:compatExt spid="_x0000_s2062"/>
                </a:ext>
                <a:ext uri="{FF2B5EF4-FFF2-40B4-BE49-F238E27FC236}">
                  <a16:creationId xmlns:a16="http://schemas.microsoft.com/office/drawing/2014/main" id="{00000000-0008-0000-0500-00000E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431</xdr:row>
          <xdr:rowOff>123825</xdr:rowOff>
        </xdr:from>
        <xdr:to>
          <xdr:col>6</xdr:col>
          <xdr:colOff>104775</xdr:colOff>
          <xdr:row>433</xdr:row>
          <xdr:rowOff>47625</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500-00000F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438</xdr:row>
          <xdr:rowOff>142875</xdr:rowOff>
        </xdr:from>
        <xdr:to>
          <xdr:col>4</xdr:col>
          <xdr:colOff>561975</xdr:colOff>
          <xdr:row>442</xdr:row>
          <xdr:rowOff>57150</xdr:rowOff>
        </xdr:to>
        <xdr:sp macro="" textlink="">
          <xdr:nvSpPr>
            <xdr:cNvPr id="2064" name="Object 16" hidden="1">
              <a:extLst>
                <a:ext uri="{63B3BB69-23CF-44E3-9099-C40C66FF867C}">
                  <a14:compatExt spid="_x0000_s2064"/>
                </a:ext>
                <a:ext uri="{FF2B5EF4-FFF2-40B4-BE49-F238E27FC236}">
                  <a16:creationId xmlns:a16="http://schemas.microsoft.com/office/drawing/2014/main" id="{00000000-0008-0000-0500-000010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444</xdr:row>
          <xdr:rowOff>9525</xdr:rowOff>
        </xdr:from>
        <xdr:to>
          <xdr:col>5</xdr:col>
          <xdr:colOff>114300</xdr:colOff>
          <xdr:row>446</xdr:row>
          <xdr:rowOff>152400</xdr:rowOff>
        </xdr:to>
        <xdr:sp macro="" textlink="">
          <xdr:nvSpPr>
            <xdr:cNvPr id="2065" name="Object 17" hidden="1">
              <a:extLst>
                <a:ext uri="{63B3BB69-23CF-44E3-9099-C40C66FF867C}">
                  <a14:compatExt spid="_x0000_s2065"/>
                </a:ext>
                <a:ext uri="{FF2B5EF4-FFF2-40B4-BE49-F238E27FC236}">
                  <a16:creationId xmlns:a16="http://schemas.microsoft.com/office/drawing/2014/main" id="{00000000-0008-0000-0500-000011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455</xdr:row>
          <xdr:rowOff>57150</xdr:rowOff>
        </xdr:from>
        <xdr:to>
          <xdr:col>6</xdr:col>
          <xdr:colOff>47625</xdr:colOff>
          <xdr:row>456</xdr:row>
          <xdr:rowOff>142875</xdr:rowOff>
        </xdr:to>
        <xdr:sp macro="" textlink="">
          <xdr:nvSpPr>
            <xdr:cNvPr id="2066" name="Object 18" hidden="1">
              <a:extLst>
                <a:ext uri="{63B3BB69-23CF-44E3-9099-C40C66FF867C}">
                  <a14:compatExt spid="_x0000_s2066"/>
                </a:ext>
                <a:ext uri="{FF2B5EF4-FFF2-40B4-BE49-F238E27FC236}">
                  <a16:creationId xmlns:a16="http://schemas.microsoft.com/office/drawing/2014/main" id="{00000000-0008-0000-0500-000012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828675</xdr:colOff>
          <xdr:row>805</xdr:row>
          <xdr:rowOff>104775</xdr:rowOff>
        </xdr:from>
        <xdr:to>
          <xdr:col>5</xdr:col>
          <xdr:colOff>104775</xdr:colOff>
          <xdr:row>807</xdr:row>
          <xdr:rowOff>57150</xdr:rowOff>
        </xdr:to>
        <xdr:sp macro="" textlink="">
          <xdr:nvSpPr>
            <xdr:cNvPr id="2067" name="Object 19" hidden="1">
              <a:extLst>
                <a:ext uri="{63B3BB69-23CF-44E3-9099-C40C66FF867C}">
                  <a14:compatExt spid="_x0000_s2067"/>
                </a:ext>
                <a:ext uri="{FF2B5EF4-FFF2-40B4-BE49-F238E27FC236}">
                  <a16:creationId xmlns:a16="http://schemas.microsoft.com/office/drawing/2014/main" id="{00000000-0008-0000-0500-000013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811</xdr:row>
          <xdr:rowOff>85725</xdr:rowOff>
        </xdr:from>
        <xdr:to>
          <xdr:col>5</xdr:col>
          <xdr:colOff>95250</xdr:colOff>
          <xdr:row>815</xdr:row>
          <xdr:rowOff>28575</xdr:rowOff>
        </xdr:to>
        <xdr:sp macro="" textlink="">
          <xdr:nvSpPr>
            <xdr:cNvPr id="2068" name="Object 20" hidden="1">
              <a:extLst>
                <a:ext uri="{63B3BB69-23CF-44E3-9099-C40C66FF867C}">
                  <a14:compatExt spid="_x0000_s2068"/>
                </a:ext>
                <a:ext uri="{FF2B5EF4-FFF2-40B4-BE49-F238E27FC236}">
                  <a16:creationId xmlns:a16="http://schemas.microsoft.com/office/drawing/2014/main" id="{00000000-0008-0000-0500-000014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816</xdr:row>
          <xdr:rowOff>9525</xdr:rowOff>
        </xdr:from>
        <xdr:to>
          <xdr:col>5</xdr:col>
          <xdr:colOff>95250</xdr:colOff>
          <xdr:row>819</xdr:row>
          <xdr:rowOff>47625</xdr:rowOff>
        </xdr:to>
        <xdr:sp macro="" textlink="">
          <xdr:nvSpPr>
            <xdr:cNvPr id="2069" name="Object 21" hidden="1">
              <a:extLst>
                <a:ext uri="{63B3BB69-23CF-44E3-9099-C40C66FF867C}">
                  <a14:compatExt spid="_x0000_s2069"/>
                </a:ext>
                <a:ext uri="{FF2B5EF4-FFF2-40B4-BE49-F238E27FC236}">
                  <a16:creationId xmlns:a16="http://schemas.microsoft.com/office/drawing/2014/main" id="{00000000-0008-0000-0500-000015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820</xdr:row>
          <xdr:rowOff>0</xdr:rowOff>
        </xdr:from>
        <xdr:to>
          <xdr:col>5</xdr:col>
          <xdr:colOff>19050</xdr:colOff>
          <xdr:row>821</xdr:row>
          <xdr:rowOff>76200</xdr:rowOff>
        </xdr:to>
        <xdr:sp macro="" textlink="">
          <xdr:nvSpPr>
            <xdr:cNvPr id="2070" name="Object 22" hidden="1">
              <a:extLst>
                <a:ext uri="{63B3BB69-23CF-44E3-9099-C40C66FF867C}">
                  <a14:compatExt spid="_x0000_s2070"/>
                </a:ext>
                <a:ext uri="{FF2B5EF4-FFF2-40B4-BE49-F238E27FC236}">
                  <a16:creationId xmlns:a16="http://schemas.microsoft.com/office/drawing/2014/main" id="{00000000-0008-0000-0500-000016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885</xdr:row>
          <xdr:rowOff>57150</xdr:rowOff>
        </xdr:from>
        <xdr:to>
          <xdr:col>4</xdr:col>
          <xdr:colOff>542925</xdr:colOff>
          <xdr:row>889</xdr:row>
          <xdr:rowOff>9525</xdr:rowOff>
        </xdr:to>
        <xdr:sp macro="" textlink="">
          <xdr:nvSpPr>
            <xdr:cNvPr id="2078" name="Object 30" hidden="1">
              <a:extLst>
                <a:ext uri="{63B3BB69-23CF-44E3-9099-C40C66FF867C}">
                  <a14:compatExt spid="_x0000_s2078"/>
                </a:ext>
                <a:ext uri="{FF2B5EF4-FFF2-40B4-BE49-F238E27FC236}">
                  <a16:creationId xmlns:a16="http://schemas.microsoft.com/office/drawing/2014/main" id="{00000000-0008-0000-0500-00001E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893</xdr:row>
          <xdr:rowOff>114300</xdr:rowOff>
        </xdr:from>
        <xdr:to>
          <xdr:col>4</xdr:col>
          <xdr:colOff>438150</xdr:colOff>
          <xdr:row>895</xdr:row>
          <xdr:rowOff>19050</xdr:rowOff>
        </xdr:to>
        <xdr:sp macro="" textlink="">
          <xdr:nvSpPr>
            <xdr:cNvPr id="2080" name="Object 32" hidden="1">
              <a:extLst>
                <a:ext uri="{63B3BB69-23CF-44E3-9099-C40C66FF867C}">
                  <a14:compatExt spid="_x0000_s2080"/>
                </a:ext>
                <a:ext uri="{FF2B5EF4-FFF2-40B4-BE49-F238E27FC236}">
                  <a16:creationId xmlns:a16="http://schemas.microsoft.com/office/drawing/2014/main" id="{00000000-0008-0000-0500-000020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838</xdr:row>
          <xdr:rowOff>76200</xdr:rowOff>
        </xdr:from>
        <xdr:to>
          <xdr:col>5</xdr:col>
          <xdr:colOff>171450</xdr:colOff>
          <xdr:row>841</xdr:row>
          <xdr:rowOff>85725</xdr:rowOff>
        </xdr:to>
        <xdr:sp macro="" textlink="">
          <xdr:nvSpPr>
            <xdr:cNvPr id="2083" name="Object 35" hidden="1">
              <a:extLst>
                <a:ext uri="{63B3BB69-23CF-44E3-9099-C40C66FF867C}">
                  <a14:compatExt spid="_x0000_s2083"/>
                </a:ext>
                <a:ext uri="{FF2B5EF4-FFF2-40B4-BE49-F238E27FC236}">
                  <a16:creationId xmlns:a16="http://schemas.microsoft.com/office/drawing/2014/main" id="{00000000-0008-0000-0500-000023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843</xdr:row>
          <xdr:rowOff>133350</xdr:rowOff>
        </xdr:from>
        <xdr:to>
          <xdr:col>5</xdr:col>
          <xdr:colOff>142875</xdr:colOff>
          <xdr:row>846</xdr:row>
          <xdr:rowOff>161925</xdr:rowOff>
        </xdr:to>
        <xdr:sp macro="" textlink="">
          <xdr:nvSpPr>
            <xdr:cNvPr id="2084" name="Object 36" hidden="1">
              <a:extLst>
                <a:ext uri="{63B3BB69-23CF-44E3-9099-C40C66FF867C}">
                  <a14:compatExt spid="_x0000_s2084"/>
                </a:ext>
                <a:ext uri="{FF2B5EF4-FFF2-40B4-BE49-F238E27FC236}">
                  <a16:creationId xmlns:a16="http://schemas.microsoft.com/office/drawing/2014/main" id="{00000000-0008-0000-0500-000024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911</xdr:row>
          <xdr:rowOff>85725</xdr:rowOff>
        </xdr:from>
        <xdr:to>
          <xdr:col>4</xdr:col>
          <xdr:colOff>523875</xdr:colOff>
          <xdr:row>914</xdr:row>
          <xdr:rowOff>95250</xdr:rowOff>
        </xdr:to>
        <xdr:sp macro="" textlink="">
          <xdr:nvSpPr>
            <xdr:cNvPr id="2085" name="Object 37" hidden="1">
              <a:extLst>
                <a:ext uri="{63B3BB69-23CF-44E3-9099-C40C66FF867C}">
                  <a14:compatExt spid="_x0000_s2085"/>
                </a:ext>
                <a:ext uri="{FF2B5EF4-FFF2-40B4-BE49-F238E27FC236}">
                  <a16:creationId xmlns:a16="http://schemas.microsoft.com/office/drawing/2014/main" id="{00000000-0008-0000-0500-000025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940</xdr:row>
          <xdr:rowOff>85725</xdr:rowOff>
        </xdr:from>
        <xdr:to>
          <xdr:col>4</xdr:col>
          <xdr:colOff>400050</xdr:colOff>
          <xdr:row>942</xdr:row>
          <xdr:rowOff>19050</xdr:rowOff>
        </xdr:to>
        <xdr:sp macro="" textlink="">
          <xdr:nvSpPr>
            <xdr:cNvPr id="2088" name="Object 40" hidden="1">
              <a:extLst>
                <a:ext uri="{63B3BB69-23CF-44E3-9099-C40C66FF867C}">
                  <a14:compatExt spid="_x0000_s2088"/>
                </a:ext>
                <a:ext uri="{FF2B5EF4-FFF2-40B4-BE49-F238E27FC236}">
                  <a16:creationId xmlns:a16="http://schemas.microsoft.com/office/drawing/2014/main" id="{00000000-0008-0000-0500-000028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350</xdr:row>
          <xdr:rowOff>0</xdr:rowOff>
        </xdr:from>
        <xdr:to>
          <xdr:col>4</xdr:col>
          <xdr:colOff>552450</xdr:colOff>
          <xdr:row>353</xdr:row>
          <xdr:rowOff>19050</xdr:rowOff>
        </xdr:to>
        <xdr:sp macro="" textlink="">
          <xdr:nvSpPr>
            <xdr:cNvPr id="2094" name="Object 46" hidden="1">
              <a:extLst>
                <a:ext uri="{63B3BB69-23CF-44E3-9099-C40C66FF867C}">
                  <a14:compatExt spid="_x0000_s2094"/>
                </a:ext>
                <a:ext uri="{FF2B5EF4-FFF2-40B4-BE49-F238E27FC236}">
                  <a16:creationId xmlns:a16="http://schemas.microsoft.com/office/drawing/2014/main" id="{00000000-0008-0000-0500-00002E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353</xdr:row>
          <xdr:rowOff>9525</xdr:rowOff>
        </xdr:from>
        <xdr:to>
          <xdr:col>5</xdr:col>
          <xdr:colOff>66675</xdr:colOff>
          <xdr:row>356</xdr:row>
          <xdr:rowOff>47625</xdr:rowOff>
        </xdr:to>
        <xdr:sp macro="" textlink="">
          <xdr:nvSpPr>
            <xdr:cNvPr id="2095" name="Object 47" hidden="1">
              <a:extLst>
                <a:ext uri="{63B3BB69-23CF-44E3-9099-C40C66FF867C}">
                  <a14:compatExt spid="_x0000_s2095"/>
                </a:ext>
                <a:ext uri="{FF2B5EF4-FFF2-40B4-BE49-F238E27FC236}">
                  <a16:creationId xmlns:a16="http://schemas.microsoft.com/office/drawing/2014/main" id="{00000000-0008-0000-0500-00002F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361</xdr:row>
          <xdr:rowOff>28575</xdr:rowOff>
        </xdr:from>
        <xdr:to>
          <xdr:col>4</xdr:col>
          <xdr:colOff>85725</xdr:colOff>
          <xdr:row>364</xdr:row>
          <xdr:rowOff>57150</xdr:rowOff>
        </xdr:to>
        <xdr:sp macro="" textlink="">
          <xdr:nvSpPr>
            <xdr:cNvPr id="2096" name="Object 48" hidden="1">
              <a:extLst>
                <a:ext uri="{63B3BB69-23CF-44E3-9099-C40C66FF867C}">
                  <a14:compatExt spid="_x0000_s2096"/>
                </a:ext>
                <a:ext uri="{FF2B5EF4-FFF2-40B4-BE49-F238E27FC236}">
                  <a16:creationId xmlns:a16="http://schemas.microsoft.com/office/drawing/2014/main" id="{00000000-0008-0000-0500-000030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373</xdr:row>
          <xdr:rowOff>47625</xdr:rowOff>
        </xdr:from>
        <xdr:to>
          <xdr:col>4</xdr:col>
          <xdr:colOff>171450</xdr:colOff>
          <xdr:row>375</xdr:row>
          <xdr:rowOff>9525</xdr:rowOff>
        </xdr:to>
        <xdr:sp macro="" textlink="">
          <xdr:nvSpPr>
            <xdr:cNvPr id="2098" name="Object 50" hidden="1">
              <a:extLst>
                <a:ext uri="{63B3BB69-23CF-44E3-9099-C40C66FF867C}">
                  <a14:compatExt spid="_x0000_s2098"/>
                </a:ext>
                <a:ext uri="{FF2B5EF4-FFF2-40B4-BE49-F238E27FC236}">
                  <a16:creationId xmlns:a16="http://schemas.microsoft.com/office/drawing/2014/main" id="{00000000-0008-0000-0500-000032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579</xdr:row>
          <xdr:rowOff>123825</xdr:rowOff>
        </xdr:from>
        <xdr:to>
          <xdr:col>4</xdr:col>
          <xdr:colOff>304800</xdr:colOff>
          <xdr:row>581</xdr:row>
          <xdr:rowOff>161925</xdr:rowOff>
        </xdr:to>
        <xdr:sp macro="" textlink="">
          <xdr:nvSpPr>
            <xdr:cNvPr id="2100" name="Object 52" hidden="1">
              <a:extLst>
                <a:ext uri="{63B3BB69-23CF-44E3-9099-C40C66FF867C}">
                  <a14:compatExt spid="_x0000_s2100"/>
                </a:ext>
                <a:ext uri="{FF2B5EF4-FFF2-40B4-BE49-F238E27FC236}">
                  <a16:creationId xmlns:a16="http://schemas.microsoft.com/office/drawing/2014/main" id="{00000000-0008-0000-0500-000034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595</xdr:row>
          <xdr:rowOff>47625</xdr:rowOff>
        </xdr:from>
        <xdr:to>
          <xdr:col>5</xdr:col>
          <xdr:colOff>9525</xdr:colOff>
          <xdr:row>598</xdr:row>
          <xdr:rowOff>19050</xdr:rowOff>
        </xdr:to>
        <xdr:sp macro="" textlink="">
          <xdr:nvSpPr>
            <xdr:cNvPr id="2101" name="Object 53" hidden="1">
              <a:extLst>
                <a:ext uri="{63B3BB69-23CF-44E3-9099-C40C66FF867C}">
                  <a14:compatExt spid="_x0000_s2101"/>
                </a:ext>
                <a:ext uri="{FF2B5EF4-FFF2-40B4-BE49-F238E27FC236}">
                  <a16:creationId xmlns:a16="http://schemas.microsoft.com/office/drawing/2014/main" id="{00000000-0008-0000-0500-000035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1228725</xdr:colOff>
          <xdr:row>605</xdr:row>
          <xdr:rowOff>85725</xdr:rowOff>
        </xdr:from>
        <xdr:to>
          <xdr:col>3</xdr:col>
          <xdr:colOff>285750</xdr:colOff>
          <xdr:row>607</xdr:row>
          <xdr:rowOff>114300</xdr:rowOff>
        </xdr:to>
        <xdr:sp macro="" textlink="">
          <xdr:nvSpPr>
            <xdr:cNvPr id="2102" name="Object 54" hidden="1">
              <a:extLst>
                <a:ext uri="{63B3BB69-23CF-44E3-9099-C40C66FF867C}">
                  <a14:compatExt spid="_x0000_s2102"/>
                </a:ext>
                <a:ext uri="{FF2B5EF4-FFF2-40B4-BE49-F238E27FC236}">
                  <a16:creationId xmlns:a16="http://schemas.microsoft.com/office/drawing/2014/main" id="{00000000-0008-0000-0500-000036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657225</xdr:colOff>
          <xdr:row>511</xdr:row>
          <xdr:rowOff>47625</xdr:rowOff>
        </xdr:from>
        <xdr:to>
          <xdr:col>3</xdr:col>
          <xdr:colOff>276225</xdr:colOff>
          <xdr:row>514</xdr:row>
          <xdr:rowOff>142875</xdr:rowOff>
        </xdr:to>
        <xdr:sp macro="" textlink="">
          <xdr:nvSpPr>
            <xdr:cNvPr id="2103" name="Object 55" hidden="1">
              <a:extLst>
                <a:ext uri="{63B3BB69-23CF-44E3-9099-C40C66FF867C}">
                  <a14:compatExt spid="_x0000_s2103"/>
                </a:ext>
                <a:ext uri="{FF2B5EF4-FFF2-40B4-BE49-F238E27FC236}">
                  <a16:creationId xmlns:a16="http://schemas.microsoft.com/office/drawing/2014/main" id="{00000000-0008-0000-0500-000037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524</xdr:row>
          <xdr:rowOff>57150</xdr:rowOff>
        </xdr:from>
        <xdr:to>
          <xdr:col>4</xdr:col>
          <xdr:colOff>314325</xdr:colOff>
          <xdr:row>526</xdr:row>
          <xdr:rowOff>95250</xdr:rowOff>
        </xdr:to>
        <xdr:sp macro="" textlink="">
          <xdr:nvSpPr>
            <xdr:cNvPr id="2104" name="Object 56" hidden="1">
              <a:extLst>
                <a:ext uri="{63B3BB69-23CF-44E3-9099-C40C66FF867C}">
                  <a14:compatExt spid="_x0000_s2104"/>
                </a:ext>
                <a:ext uri="{FF2B5EF4-FFF2-40B4-BE49-F238E27FC236}">
                  <a16:creationId xmlns:a16="http://schemas.microsoft.com/office/drawing/2014/main" id="{00000000-0008-0000-0500-000038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427</xdr:row>
          <xdr:rowOff>85725</xdr:rowOff>
        </xdr:from>
        <xdr:to>
          <xdr:col>4</xdr:col>
          <xdr:colOff>466725</xdr:colOff>
          <xdr:row>430</xdr:row>
          <xdr:rowOff>95250</xdr:rowOff>
        </xdr:to>
        <xdr:sp macro="" textlink="">
          <xdr:nvSpPr>
            <xdr:cNvPr id="2118" name="Object 70" hidden="1">
              <a:extLst>
                <a:ext uri="{63B3BB69-23CF-44E3-9099-C40C66FF867C}">
                  <a14:compatExt spid="_x0000_s2118"/>
                </a:ext>
                <a:ext uri="{FF2B5EF4-FFF2-40B4-BE49-F238E27FC236}">
                  <a16:creationId xmlns:a16="http://schemas.microsoft.com/office/drawing/2014/main" id="{00000000-0008-0000-0500-000046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1000125</xdr:colOff>
          <xdr:row>424</xdr:row>
          <xdr:rowOff>123825</xdr:rowOff>
        </xdr:from>
        <xdr:to>
          <xdr:col>5</xdr:col>
          <xdr:colOff>9525</xdr:colOff>
          <xdr:row>427</xdr:row>
          <xdr:rowOff>19050</xdr:rowOff>
        </xdr:to>
        <xdr:sp macro="" textlink="">
          <xdr:nvSpPr>
            <xdr:cNvPr id="2119" name="Object 71" hidden="1">
              <a:extLst>
                <a:ext uri="{63B3BB69-23CF-44E3-9099-C40C66FF867C}">
                  <a14:compatExt spid="_x0000_s2119"/>
                </a:ext>
                <a:ext uri="{FF2B5EF4-FFF2-40B4-BE49-F238E27FC236}">
                  <a16:creationId xmlns:a16="http://schemas.microsoft.com/office/drawing/2014/main" id="{00000000-0008-0000-0500-000047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520</xdr:row>
          <xdr:rowOff>19050</xdr:rowOff>
        </xdr:from>
        <xdr:to>
          <xdr:col>4</xdr:col>
          <xdr:colOff>428625</xdr:colOff>
          <xdr:row>523</xdr:row>
          <xdr:rowOff>47625</xdr:rowOff>
        </xdr:to>
        <xdr:sp macro="" textlink="">
          <xdr:nvSpPr>
            <xdr:cNvPr id="2120" name="Object 72" hidden="1">
              <a:extLst>
                <a:ext uri="{63B3BB69-23CF-44E3-9099-C40C66FF867C}">
                  <a14:compatExt spid="_x0000_s2120"/>
                </a:ext>
                <a:ext uri="{FF2B5EF4-FFF2-40B4-BE49-F238E27FC236}">
                  <a16:creationId xmlns:a16="http://schemas.microsoft.com/office/drawing/2014/main" id="{00000000-0008-0000-0500-000048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517</xdr:row>
          <xdr:rowOff>123825</xdr:rowOff>
        </xdr:from>
        <xdr:to>
          <xdr:col>4</xdr:col>
          <xdr:colOff>571500</xdr:colOff>
          <xdr:row>520</xdr:row>
          <xdr:rowOff>19050</xdr:rowOff>
        </xdr:to>
        <xdr:sp macro="" textlink="">
          <xdr:nvSpPr>
            <xdr:cNvPr id="2121" name="Object 73" hidden="1">
              <a:extLst>
                <a:ext uri="{63B3BB69-23CF-44E3-9099-C40C66FF867C}">
                  <a14:compatExt spid="_x0000_s2121"/>
                </a:ext>
                <a:ext uri="{FF2B5EF4-FFF2-40B4-BE49-F238E27FC236}">
                  <a16:creationId xmlns:a16="http://schemas.microsoft.com/office/drawing/2014/main" id="{00000000-0008-0000-0500-000049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200025</xdr:colOff>
          <xdr:row>490</xdr:row>
          <xdr:rowOff>152400</xdr:rowOff>
        </xdr:from>
        <xdr:to>
          <xdr:col>5</xdr:col>
          <xdr:colOff>19050</xdr:colOff>
          <xdr:row>494</xdr:row>
          <xdr:rowOff>9525</xdr:rowOff>
        </xdr:to>
        <xdr:sp macro="" textlink="">
          <xdr:nvSpPr>
            <xdr:cNvPr id="2122" name="Object 74" hidden="1">
              <a:extLst>
                <a:ext uri="{63B3BB69-23CF-44E3-9099-C40C66FF867C}">
                  <a14:compatExt spid="_x0000_s2122"/>
                </a:ext>
                <a:ext uri="{FF2B5EF4-FFF2-40B4-BE49-F238E27FC236}">
                  <a16:creationId xmlns:a16="http://schemas.microsoft.com/office/drawing/2014/main" id="{00000000-0008-0000-0500-00004A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295275</xdr:colOff>
          <xdr:row>497</xdr:row>
          <xdr:rowOff>28575</xdr:rowOff>
        </xdr:from>
        <xdr:to>
          <xdr:col>5</xdr:col>
          <xdr:colOff>9525</xdr:colOff>
          <xdr:row>500</xdr:row>
          <xdr:rowOff>85725</xdr:rowOff>
        </xdr:to>
        <xdr:sp macro="" textlink="">
          <xdr:nvSpPr>
            <xdr:cNvPr id="2123" name="Object 75" hidden="1">
              <a:extLst>
                <a:ext uri="{63B3BB69-23CF-44E3-9099-C40C66FF867C}">
                  <a14:compatExt spid="_x0000_s2123"/>
                </a:ext>
                <a:ext uri="{FF2B5EF4-FFF2-40B4-BE49-F238E27FC236}">
                  <a16:creationId xmlns:a16="http://schemas.microsoft.com/office/drawing/2014/main" id="{00000000-0008-0000-0500-00004B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502</xdr:row>
          <xdr:rowOff>0</xdr:rowOff>
        </xdr:from>
        <xdr:to>
          <xdr:col>5</xdr:col>
          <xdr:colOff>28575</xdr:colOff>
          <xdr:row>505</xdr:row>
          <xdr:rowOff>19050</xdr:rowOff>
        </xdr:to>
        <xdr:sp macro="" textlink="">
          <xdr:nvSpPr>
            <xdr:cNvPr id="2124" name="Object 76" hidden="1">
              <a:extLst>
                <a:ext uri="{63B3BB69-23CF-44E3-9099-C40C66FF867C}">
                  <a14:compatExt spid="_x0000_s2124"/>
                </a:ext>
                <a:ext uri="{FF2B5EF4-FFF2-40B4-BE49-F238E27FC236}">
                  <a16:creationId xmlns:a16="http://schemas.microsoft.com/office/drawing/2014/main" id="{00000000-0008-0000-0500-00004C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505</xdr:row>
          <xdr:rowOff>38100</xdr:rowOff>
        </xdr:from>
        <xdr:to>
          <xdr:col>5</xdr:col>
          <xdr:colOff>66675</xdr:colOff>
          <xdr:row>508</xdr:row>
          <xdr:rowOff>0</xdr:rowOff>
        </xdr:to>
        <xdr:sp macro="" textlink="">
          <xdr:nvSpPr>
            <xdr:cNvPr id="2125" name="Object 77" hidden="1">
              <a:extLst>
                <a:ext uri="{63B3BB69-23CF-44E3-9099-C40C66FF867C}">
                  <a14:compatExt spid="_x0000_s2125"/>
                </a:ext>
                <a:ext uri="{FF2B5EF4-FFF2-40B4-BE49-F238E27FC236}">
                  <a16:creationId xmlns:a16="http://schemas.microsoft.com/office/drawing/2014/main" id="{00000000-0008-0000-0500-00004D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781050</xdr:colOff>
          <xdr:row>544</xdr:row>
          <xdr:rowOff>57150</xdr:rowOff>
        </xdr:from>
        <xdr:to>
          <xdr:col>3</xdr:col>
          <xdr:colOff>333375</xdr:colOff>
          <xdr:row>547</xdr:row>
          <xdr:rowOff>76200</xdr:rowOff>
        </xdr:to>
        <xdr:sp macro="" textlink="">
          <xdr:nvSpPr>
            <xdr:cNvPr id="2126" name="Object 78" hidden="1">
              <a:extLst>
                <a:ext uri="{63B3BB69-23CF-44E3-9099-C40C66FF867C}">
                  <a14:compatExt spid="_x0000_s2126"/>
                </a:ext>
                <a:ext uri="{FF2B5EF4-FFF2-40B4-BE49-F238E27FC236}">
                  <a16:creationId xmlns:a16="http://schemas.microsoft.com/office/drawing/2014/main" id="{00000000-0008-0000-0500-00004E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800100</xdr:colOff>
          <xdr:row>549</xdr:row>
          <xdr:rowOff>104775</xdr:rowOff>
        </xdr:from>
        <xdr:to>
          <xdr:col>3</xdr:col>
          <xdr:colOff>247650</xdr:colOff>
          <xdr:row>553</xdr:row>
          <xdr:rowOff>0</xdr:rowOff>
        </xdr:to>
        <xdr:sp macro="" textlink="">
          <xdr:nvSpPr>
            <xdr:cNvPr id="2127" name="Object 79" hidden="1">
              <a:extLst>
                <a:ext uri="{63B3BB69-23CF-44E3-9099-C40C66FF867C}">
                  <a14:compatExt spid="_x0000_s2127"/>
                </a:ext>
                <a:ext uri="{FF2B5EF4-FFF2-40B4-BE49-F238E27FC236}">
                  <a16:creationId xmlns:a16="http://schemas.microsoft.com/office/drawing/2014/main" id="{00000000-0008-0000-0500-00004F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555</xdr:row>
          <xdr:rowOff>57150</xdr:rowOff>
        </xdr:from>
        <xdr:to>
          <xdr:col>3</xdr:col>
          <xdr:colOff>438150</xdr:colOff>
          <xdr:row>558</xdr:row>
          <xdr:rowOff>95250</xdr:rowOff>
        </xdr:to>
        <xdr:sp macro="" textlink="">
          <xdr:nvSpPr>
            <xdr:cNvPr id="2128" name="Object 80" hidden="1">
              <a:extLst>
                <a:ext uri="{63B3BB69-23CF-44E3-9099-C40C66FF867C}">
                  <a14:compatExt spid="_x0000_s2128"/>
                </a:ext>
                <a:ext uri="{FF2B5EF4-FFF2-40B4-BE49-F238E27FC236}">
                  <a16:creationId xmlns:a16="http://schemas.microsoft.com/office/drawing/2014/main" id="{00000000-0008-0000-0500-000050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559</xdr:row>
          <xdr:rowOff>9525</xdr:rowOff>
        </xdr:from>
        <xdr:to>
          <xdr:col>4</xdr:col>
          <xdr:colOff>171450</xdr:colOff>
          <xdr:row>562</xdr:row>
          <xdr:rowOff>85725</xdr:rowOff>
        </xdr:to>
        <xdr:sp macro="" textlink="">
          <xdr:nvSpPr>
            <xdr:cNvPr id="2129" name="Object 81" hidden="1">
              <a:extLst>
                <a:ext uri="{63B3BB69-23CF-44E3-9099-C40C66FF867C}">
                  <a14:compatExt spid="_x0000_s2129"/>
                </a:ext>
                <a:ext uri="{FF2B5EF4-FFF2-40B4-BE49-F238E27FC236}">
                  <a16:creationId xmlns:a16="http://schemas.microsoft.com/office/drawing/2014/main" id="{00000000-0008-0000-0500-000051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895350</xdr:colOff>
          <xdr:row>566</xdr:row>
          <xdr:rowOff>28575</xdr:rowOff>
        </xdr:from>
        <xdr:to>
          <xdr:col>3</xdr:col>
          <xdr:colOff>238125</xdr:colOff>
          <xdr:row>569</xdr:row>
          <xdr:rowOff>133350</xdr:rowOff>
        </xdr:to>
        <xdr:sp macro="" textlink="">
          <xdr:nvSpPr>
            <xdr:cNvPr id="2130" name="Object 82" hidden="1">
              <a:extLst>
                <a:ext uri="{63B3BB69-23CF-44E3-9099-C40C66FF867C}">
                  <a14:compatExt spid="_x0000_s2130"/>
                </a:ext>
                <a:ext uri="{FF2B5EF4-FFF2-40B4-BE49-F238E27FC236}">
                  <a16:creationId xmlns:a16="http://schemas.microsoft.com/office/drawing/2014/main" id="{00000000-0008-0000-0500-000052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588</xdr:row>
          <xdr:rowOff>123825</xdr:rowOff>
        </xdr:from>
        <xdr:to>
          <xdr:col>4</xdr:col>
          <xdr:colOff>438150</xdr:colOff>
          <xdr:row>592</xdr:row>
          <xdr:rowOff>66675</xdr:rowOff>
        </xdr:to>
        <xdr:sp macro="" textlink="">
          <xdr:nvSpPr>
            <xdr:cNvPr id="2131" name="Object 83" hidden="1">
              <a:extLst>
                <a:ext uri="{63B3BB69-23CF-44E3-9099-C40C66FF867C}">
                  <a14:compatExt spid="_x0000_s2131"/>
                </a:ext>
                <a:ext uri="{FF2B5EF4-FFF2-40B4-BE49-F238E27FC236}">
                  <a16:creationId xmlns:a16="http://schemas.microsoft.com/office/drawing/2014/main" id="{00000000-0008-0000-0500-000053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523875</xdr:colOff>
          <xdr:row>825</xdr:row>
          <xdr:rowOff>28575</xdr:rowOff>
        </xdr:from>
        <xdr:to>
          <xdr:col>4</xdr:col>
          <xdr:colOff>457200</xdr:colOff>
          <xdr:row>828</xdr:row>
          <xdr:rowOff>19050</xdr:rowOff>
        </xdr:to>
        <xdr:sp macro="" textlink="">
          <xdr:nvSpPr>
            <xdr:cNvPr id="2133" name="Object 85" hidden="1">
              <a:extLst>
                <a:ext uri="{63B3BB69-23CF-44E3-9099-C40C66FF867C}">
                  <a14:compatExt spid="_x0000_s2133"/>
                </a:ext>
                <a:ext uri="{FF2B5EF4-FFF2-40B4-BE49-F238E27FC236}">
                  <a16:creationId xmlns:a16="http://schemas.microsoft.com/office/drawing/2014/main" id="{00000000-0008-0000-0500-000055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600075</xdr:colOff>
          <xdr:row>901</xdr:row>
          <xdr:rowOff>19050</xdr:rowOff>
        </xdr:from>
        <xdr:to>
          <xdr:col>5</xdr:col>
          <xdr:colOff>19050</xdr:colOff>
          <xdr:row>904</xdr:row>
          <xdr:rowOff>142875</xdr:rowOff>
        </xdr:to>
        <xdr:sp macro="" textlink="">
          <xdr:nvSpPr>
            <xdr:cNvPr id="2134" name="Object 86" hidden="1">
              <a:extLst>
                <a:ext uri="{63B3BB69-23CF-44E3-9099-C40C66FF867C}">
                  <a14:compatExt spid="_x0000_s2134"/>
                </a:ext>
                <a:ext uri="{FF2B5EF4-FFF2-40B4-BE49-F238E27FC236}">
                  <a16:creationId xmlns:a16="http://schemas.microsoft.com/office/drawing/2014/main" id="{00000000-0008-0000-0500-000056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1019175</xdr:colOff>
          <xdr:row>304</xdr:row>
          <xdr:rowOff>95250</xdr:rowOff>
        </xdr:from>
        <xdr:to>
          <xdr:col>5</xdr:col>
          <xdr:colOff>295275</xdr:colOff>
          <xdr:row>306</xdr:row>
          <xdr:rowOff>57150</xdr:rowOff>
        </xdr:to>
        <xdr:sp macro="" textlink="">
          <xdr:nvSpPr>
            <xdr:cNvPr id="2" name="Object 89" hidden="1">
              <a:extLst>
                <a:ext uri="{63B3BB69-23CF-44E3-9099-C40C66FF867C}">
                  <a14:compatExt spid="_x0000_s2137"/>
                </a:ext>
                <a:ext uri="{FF2B5EF4-FFF2-40B4-BE49-F238E27FC236}">
                  <a16:creationId xmlns:a16="http://schemas.microsoft.com/office/drawing/2014/main" id="{00000000-0008-0000-0500-00000200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316</xdr:row>
          <xdr:rowOff>104775</xdr:rowOff>
        </xdr:from>
        <xdr:to>
          <xdr:col>4</xdr:col>
          <xdr:colOff>476250</xdr:colOff>
          <xdr:row>318</xdr:row>
          <xdr:rowOff>19050</xdr:rowOff>
        </xdr:to>
        <xdr:sp macro="" textlink="">
          <xdr:nvSpPr>
            <xdr:cNvPr id="3" name="Object 90" hidden="1">
              <a:extLst>
                <a:ext uri="{63B3BB69-23CF-44E3-9099-C40C66FF867C}">
                  <a14:compatExt spid="_x0000_s2138"/>
                </a:ext>
                <a:ext uri="{FF2B5EF4-FFF2-40B4-BE49-F238E27FC236}">
                  <a16:creationId xmlns:a16="http://schemas.microsoft.com/office/drawing/2014/main" id="{00000000-0008-0000-0500-00000300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312</xdr:row>
          <xdr:rowOff>142875</xdr:rowOff>
        </xdr:from>
        <xdr:to>
          <xdr:col>4</xdr:col>
          <xdr:colOff>485775</xdr:colOff>
          <xdr:row>316</xdr:row>
          <xdr:rowOff>9525</xdr:rowOff>
        </xdr:to>
        <xdr:sp macro="" textlink="">
          <xdr:nvSpPr>
            <xdr:cNvPr id="2142" name="Object 94" hidden="1">
              <a:extLst>
                <a:ext uri="{63B3BB69-23CF-44E3-9099-C40C66FF867C}">
                  <a14:compatExt spid="_x0000_s2142"/>
                </a:ext>
                <a:ext uri="{FF2B5EF4-FFF2-40B4-BE49-F238E27FC236}">
                  <a16:creationId xmlns:a16="http://schemas.microsoft.com/office/drawing/2014/main" id="{00000000-0008-0000-0500-00005E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324</xdr:row>
          <xdr:rowOff>28575</xdr:rowOff>
        </xdr:from>
        <xdr:to>
          <xdr:col>5</xdr:col>
          <xdr:colOff>47625</xdr:colOff>
          <xdr:row>327</xdr:row>
          <xdr:rowOff>0</xdr:rowOff>
        </xdr:to>
        <xdr:sp macro="" textlink="">
          <xdr:nvSpPr>
            <xdr:cNvPr id="2143" name="Object 95" hidden="1">
              <a:extLst>
                <a:ext uri="{63B3BB69-23CF-44E3-9099-C40C66FF867C}">
                  <a14:compatExt spid="_x0000_s2143"/>
                </a:ext>
                <a:ext uri="{FF2B5EF4-FFF2-40B4-BE49-F238E27FC236}">
                  <a16:creationId xmlns:a16="http://schemas.microsoft.com/office/drawing/2014/main" id="{00000000-0008-0000-0500-00005F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742950</xdr:colOff>
          <xdr:row>576</xdr:row>
          <xdr:rowOff>104775</xdr:rowOff>
        </xdr:from>
        <xdr:to>
          <xdr:col>5</xdr:col>
          <xdr:colOff>28575</xdr:colOff>
          <xdr:row>579</xdr:row>
          <xdr:rowOff>123825</xdr:rowOff>
        </xdr:to>
        <xdr:sp macro="" textlink="">
          <xdr:nvSpPr>
            <xdr:cNvPr id="2144" name="Object 96" hidden="1">
              <a:extLst>
                <a:ext uri="{63B3BB69-23CF-44E3-9099-C40C66FF867C}">
                  <a14:compatExt spid="_x0000_s2144"/>
                </a:ext>
                <a:ext uri="{FF2B5EF4-FFF2-40B4-BE49-F238E27FC236}">
                  <a16:creationId xmlns:a16="http://schemas.microsoft.com/office/drawing/2014/main" id="{00000000-0008-0000-0500-000060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1009650</xdr:colOff>
          <xdr:row>573</xdr:row>
          <xdr:rowOff>142875</xdr:rowOff>
        </xdr:from>
        <xdr:to>
          <xdr:col>5</xdr:col>
          <xdr:colOff>19050</xdr:colOff>
          <xdr:row>576</xdr:row>
          <xdr:rowOff>47625</xdr:rowOff>
        </xdr:to>
        <xdr:sp macro="" textlink="">
          <xdr:nvSpPr>
            <xdr:cNvPr id="2145" name="Object 97" hidden="1">
              <a:extLst>
                <a:ext uri="{63B3BB69-23CF-44E3-9099-C40C66FF867C}">
                  <a14:compatExt spid="_x0000_s2145"/>
                </a:ext>
                <a:ext uri="{FF2B5EF4-FFF2-40B4-BE49-F238E27FC236}">
                  <a16:creationId xmlns:a16="http://schemas.microsoft.com/office/drawing/2014/main" id="{00000000-0008-0000-0500-000061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730</xdr:row>
          <xdr:rowOff>123825</xdr:rowOff>
        </xdr:from>
        <xdr:to>
          <xdr:col>4</xdr:col>
          <xdr:colOff>304800</xdr:colOff>
          <xdr:row>732</xdr:row>
          <xdr:rowOff>161925</xdr:rowOff>
        </xdr:to>
        <xdr:sp macro="" textlink="">
          <xdr:nvSpPr>
            <xdr:cNvPr id="2146" name="Object 98" hidden="1">
              <a:extLst>
                <a:ext uri="{63B3BB69-23CF-44E3-9099-C40C66FF867C}">
                  <a14:compatExt spid="_x0000_s2146"/>
                </a:ext>
                <a:ext uri="{FF2B5EF4-FFF2-40B4-BE49-F238E27FC236}">
                  <a16:creationId xmlns:a16="http://schemas.microsoft.com/office/drawing/2014/main" id="{00000000-0008-0000-0500-000062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745</xdr:row>
          <xdr:rowOff>38100</xdr:rowOff>
        </xdr:from>
        <xdr:to>
          <xdr:col>5</xdr:col>
          <xdr:colOff>9525</xdr:colOff>
          <xdr:row>748</xdr:row>
          <xdr:rowOff>19050</xdr:rowOff>
        </xdr:to>
        <xdr:sp macro="" textlink="">
          <xdr:nvSpPr>
            <xdr:cNvPr id="2147" name="Object 99" hidden="1">
              <a:extLst>
                <a:ext uri="{63B3BB69-23CF-44E3-9099-C40C66FF867C}">
                  <a14:compatExt spid="_x0000_s2147"/>
                </a:ext>
                <a:ext uri="{FF2B5EF4-FFF2-40B4-BE49-F238E27FC236}">
                  <a16:creationId xmlns:a16="http://schemas.microsoft.com/office/drawing/2014/main" id="{00000000-0008-0000-0500-000063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1228725</xdr:colOff>
          <xdr:row>750</xdr:row>
          <xdr:rowOff>85725</xdr:rowOff>
        </xdr:from>
        <xdr:to>
          <xdr:col>3</xdr:col>
          <xdr:colOff>285750</xdr:colOff>
          <xdr:row>752</xdr:row>
          <xdr:rowOff>114300</xdr:rowOff>
        </xdr:to>
        <xdr:sp macro="" textlink="">
          <xdr:nvSpPr>
            <xdr:cNvPr id="2148" name="Object 100" hidden="1">
              <a:extLst>
                <a:ext uri="{63B3BB69-23CF-44E3-9099-C40C66FF867C}">
                  <a14:compatExt spid="_x0000_s2148"/>
                </a:ext>
                <a:ext uri="{FF2B5EF4-FFF2-40B4-BE49-F238E27FC236}">
                  <a16:creationId xmlns:a16="http://schemas.microsoft.com/office/drawing/2014/main" id="{00000000-0008-0000-0500-000064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657225</xdr:colOff>
          <xdr:row>660</xdr:row>
          <xdr:rowOff>47625</xdr:rowOff>
        </xdr:from>
        <xdr:to>
          <xdr:col>3</xdr:col>
          <xdr:colOff>276225</xdr:colOff>
          <xdr:row>663</xdr:row>
          <xdr:rowOff>142875</xdr:rowOff>
        </xdr:to>
        <xdr:sp macro="" textlink="">
          <xdr:nvSpPr>
            <xdr:cNvPr id="2149" name="Object 101" hidden="1">
              <a:extLst>
                <a:ext uri="{63B3BB69-23CF-44E3-9099-C40C66FF867C}">
                  <a14:compatExt spid="_x0000_s2149"/>
                </a:ext>
                <a:ext uri="{FF2B5EF4-FFF2-40B4-BE49-F238E27FC236}">
                  <a16:creationId xmlns:a16="http://schemas.microsoft.com/office/drawing/2014/main" id="{00000000-0008-0000-0500-000065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673</xdr:row>
          <xdr:rowOff>123825</xdr:rowOff>
        </xdr:from>
        <xdr:to>
          <xdr:col>4</xdr:col>
          <xdr:colOff>304800</xdr:colOff>
          <xdr:row>675</xdr:row>
          <xdr:rowOff>161925</xdr:rowOff>
        </xdr:to>
        <xdr:sp macro="" textlink="">
          <xdr:nvSpPr>
            <xdr:cNvPr id="2150" name="Object 102" hidden="1">
              <a:extLst>
                <a:ext uri="{63B3BB69-23CF-44E3-9099-C40C66FF867C}">
                  <a14:compatExt spid="_x0000_s2150"/>
                </a:ext>
                <a:ext uri="{FF2B5EF4-FFF2-40B4-BE49-F238E27FC236}">
                  <a16:creationId xmlns:a16="http://schemas.microsoft.com/office/drawing/2014/main" id="{00000000-0008-0000-0500-000066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962025</xdr:colOff>
          <xdr:row>669</xdr:row>
          <xdr:rowOff>28575</xdr:rowOff>
        </xdr:from>
        <xdr:to>
          <xdr:col>5</xdr:col>
          <xdr:colOff>247650</xdr:colOff>
          <xdr:row>672</xdr:row>
          <xdr:rowOff>47625</xdr:rowOff>
        </xdr:to>
        <xdr:sp macro="" textlink="">
          <xdr:nvSpPr>
            <xdr:cNvPr id="2151" name="Object 103" hidden="1">
              <a:extLst>
                <a:ext uri="{63B3BB69-23CF-44E3-9099-C40C66FF867C}">
                  <a14:compatExt spid="_x0000_s2151"/>
                </a:ext>
                <a:ext uri="{FF2B5EF4-FFF2-40B4-BE49-F238E27FC236}">
                  <a16:creationId xmlns:a16="http://schemas.microsoft.com/office/drawing/2014/main" id="{00000000-0008-0000-0500-000067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666</xdr:row>
          <xdr:rowOff>123825</xdr:rowOff>
        </xdr:from>
        <xdr:to>
          <xdr:col>4</xdr:col>
          <xdr:colOff>571500</xdr:colOff>
          <xdr:row>669</xdr:row>
          <xdr:rowOff>19050</xdr:rowOff>
        </xdr:to>
        <xdr:sp macro="" textlink="">
          <xdr:nvSpPr>
            <xdr:cNvPr id="2152" name="Object 104" hidden="1">
              <a:extLst>
                <a:ext uri="{63B3BB69-23CF-44E3-9099-C40C66FF867C}">
                  <a14:compatExt spid="_x0000_s2152"/>
                </a:ext>
                <a:ext uri="{FF2B5EF4-FFF2-40B4-BE49-F238E27FC236}">
                  <a16:creationId xmlns:a16="http://schemas.microsoft.com/office/drawing/2014/main" id="{00000000-0008-0000-0500-000068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200025</xdr:colOff>
          <xdr:row>636</xdr:row>
          <xdr:rowOff>152400</xdr:rowOff>
        </xdr:from>
        <xdr:to>
          <xdr:col>5</xdr:col>
          <xdr:colOff>19050</xdr:colOff>
          <xdr:row>640</xdr:row>
          <xdr:rowOff>9525</xdr:rowOff>
        </xdr:to>
        <xdr:sp macro="" textlink="">
          <xdr:nvSpPr>
            <xdr:cNvPr id="2153" name="Object 105" hidden="1">
              <a:extLst>
                <a:ext uri="{63B3BB69-23CF-44E3-9099-C40C66FF867C}">
                  <a14:compatExt spid="_x0000_s2153"/>
                </a:ext>
                <a:ext uri="{FF2B5EF4-FFF2-40B4-BE49-F238E27FC236}">
                  <a16:creationId xmlns:a16="http://schemas.microsoft.com/office/drawing/2014/main" id="{00000000-0008-0000-0500-000069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247650</xdr:colOff>
          <xdr:row>642</xdr:row>
          <xdr:rowOff>85725</xdr:rowOff>
        </xdr:from>
        <xdr:to>
          <xdr:col>4</xdr:col>
          <xdr:colOff>533400</xdr:colOff>
          <xdr:row>645</xdr:row>
          <xdr:rowOff>133350</xdr:rowOff>
        </xdr:to>
        <xdr:sp macro="" textlink="">
          <xdr:nvSpPr>
            <xdr:cNvPr id="2154" name="Object 106" hidden="1">
              <a:extLst>
                <a:ext uri="{63B3BB69-23CF-44E3-9099-C40C66FF867C}">
                  <a14:compatExt spid="_x0000_s2154"/>
                </a:ext>
                <a:ext uri="{FF2B5EF4-FFF2-40B4-BE49-F238E27FC236}">
                  <a16:creationId xmlns:a16="http://schemas.microsoft.com/office/drawing/2014/main" id="{00000000-0008-0000-0500-00006A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648</xdr:row>
          <xdr:rowOff>142875</xdr:rowOff>
        </xdr:from>
        <xdr:to>
          <xdr:col>5</xdr:col>
          <xdr:colOff>28575</xdr:colOff>
          <xdr:row>652</xdr:row>
          <xdr:rowOff>19050</xdr:rowOff>
        </xdr:to>
        <xdr:sp macro="" textlink="">
          <xdr:nvSpPr>
            <xdr:cNvPr id="2155" name="Object 107" hidden="1">
              <a:extLst>
                <a:ext uri="{63B3BB69-23CF-44E3-9099-C40C66FF867C}">
                  <a14:compatExt spid="_x0000_s2155"/>
                </a:ext>
                <a:ext uri="{FF2B5EF4-FFF2-40B4-BE49-F238E27FC236}">
                  <a16:creationId xmlns:a16="http://schemas.microsoft.com/office/drawing/2014/main" id="{00000000-0008-0000-0500-00006B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652</xdr:row>
          <xdr:rowOff>38100</xdr:rowOff>
        </xdr:from>
        <xdr:to>
          <xdr:col>5</xdr:col>
          <xdr:colOff>66675</xdr:colOff>
          <xdr:row>655</xdr:row>
          <xdr:rowOff>57150</xdr:rowOff>
        </xdr:to>
        <xdr:sp macro="" textlink="">
          <xdr:nvSpPr>
            <xdr:cNvPr id="2156" name="Object 108" hidden="1">
              <a:extLst>
                <a:ext uri="{63B3BB69-23CF-44E3-9099-C40C66FF867C}">
                  <a14:compatExt spid="_x0000_s2156"/>
                </a:ext>
                <a:ext uri="{FF2B5EF4-FFF2-40B4-BE49-F238E27FC236}">
                  <a16:creationId xmlns:a16="http://schemas.microsoft.com/office/drawing/2014/main" id="{00000000-0008-0000-0500-00006C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914400</xdr:colOff>
          <xdr:row>692</xdr:row>
          <xdr:rowOff>85725</xdr:rowOff>
        </xdr:from>
        <xdr:to>
          <xdr:col>4</xdr:col>
          <xdr:colOff>361950</xdr:colOff>
          <xdr:row>696</xdr:row>
          <xdr:rowOff>85725</xdr:rowOff>
        </xdr:to>
        <xdr:sp macro="" textlink="">
          <xdr:nvSpPr>
            <xdr:cNvPr id="2157" name="Object 109" hidden="1">
              <a:extLst>
                <a:ext uri="{63B3BB69-23CF-44E3-9099-C40C66FF867C}">
                  <a14:compatExt spid="_x0000_s2157"/>
                </a:ext>
                <a:ext uri="{FF2B5EF4-FFF2-40B4-BE49-F238E27FC236}">
                  <a16:creationId xmlns:a16="http://schemas.microsoft.com/office/drawing/2014/main" id="{00000000-0008-0000-0500-00006D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800100</xdr:colOff>
          <xdr:row>701</xdr:row>
          <xdr:rowOff>104775</xdr:rowOff>
        </xdr:from>
        <xdr:to>
          <xdr:col>3</xdr:col>
          <xdr:colOff>247650</xdr:colOff>
          <xdr:row>705</xdr:row>
          <xdr:rowOff>0</xdr:rowOff>
        </xdr:to>
        <xdr:sp macro="" textlink="">
          <xdr:nvSpPr>
            <xdr:cNvPr id="2158" name="Object 110" hidden="1">
              <a:extLst>
                <a:ext uri="{63B3BB69-23CF-44E3-9099-C40C66FF867C}">
                  <a14:compatExt spid="_x0000_s2158"/>
                </a:ext>
                <a:ext uri="{FF2B5EF4-FFF2-40B4-BE49-F238E27FC236}">
                  <a16:creationId xmlns:a16="http://schemas.microsoft.com/office/drawing/2014/main" id="{00000000-0008-0000-0500-00006E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707</xdr:row>
          <xdr:rowOff>57150</xdr:rowOff>
        </xdr:from>
        <xdr:to>
          <xdr:col>3</xdr:col>
          <xdr:colOff>438150</xdr:colOff>
          <xdr:row>710</xdr:row>
          <xdr:rowOff>95250</xdr:rowOff>
        </xdr:to>
        <xdr:sp macro="" textlink="">
          <xdr:nvSpPr>
            <xdr:cNvPr id="2159" name="Object 111" hidden="1">
              <a:extLst>
                <a:ext uri="{63B3BB69-23CF-44E3-9099-C40C66FF867C}">
                  <a14:compatExt spid="_x0000_s2159"/>
                </a:ext>
                <a:ext uri="{FF2B5EF4-FFF2-40B4-BE49-F238E27FC236}">
                  <a16:creationId xmlns:a16="http://schemas.microsoft.com/office/drawing/2014/main" id="{00000000-0008-0000-0500-00006F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711</xdr:row>
          <xdr:rowOff>9525</xdr:rowOff>
        </xdr:from>
        <xdr:to>
          <xdr:col>4</xdr:col>
          <xdr:colOff>171450</xdr:colOff>
          <xdr:row>714</xdr:row>
          <xdr:rowOff>85725</xdr:rowOff>
        </xdr:to>
        <xdr:sp macro="" textlink="">
          <xdr:nvSpPr>
            <xdr:cNvPr id="2160" name="Object 112" hidden="1">
              <a:extLst>
                <a:ext uri="{63B3BB69-23CF-44E3-9099-C40C66FF867C}">
                  <a14:compatExt spid="_x0000_s2160"/>
                </a:ext>
                <a:ext uri="{FF2B5EF4-FFF2-40B4-BE49-F238E27FC236}">
                  <a16:creationId xmlns:a16="http://schemas.microsoft.com/office/drawing/2014/main" id="{00000000-0008-0000-0500-000070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895350</xdr:colOff>
          <xdr:row>718</xdr:row>
          <xdr:rowOff>28575</xdr:rowOff>
        </xdr:from>
        <xdr:to>
          <xdr:col>3</xdr:col>
          <xdr:colOff>238125</xdr:colOff>
          <xdr:row>721</xdr:row>
          <xdr:rowOff>133350</xdr:rowOff>
        </xdr:to>
        <xdr:sp macro="" textlink="">
          <xdr:nvSpPr>
            <xdr:cNvPr id="2161" name="Object 113" hidden="1">
              <a:extLst>
                <a:ext uri="{63B3BB69-23CF-44E3-9099-C40C66FF867C}">
                  <a14:compatExt spid="_x0000_s2161"/>
                </a:ext>
                <a:ext uri="{FF2B5EF4-FFF2-40B4-BE49-F238E27FC236}">
                  <a16:creationId xmlns:a16="http://schemas.microsoft.com/office/drawing/2014/main" id="{00000000-0008-0000-0500-000071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1228725</xdr:colOff>
          <xdr:row>739</xdr:row>
          <xdr:rowOff>114300</xdr:rowOff>
        </xdr:from>
        <xdr:to>
          <xdr:col>4</xdr:col>
          <xdr:colOff>161925</xdr:colOff>
          <xdr:row>743</xdr:row>
          <xdr:rowOff>57150</xdr:rowOff>
        </xdr:to>
        <xdr:sp macro="" textlink="">
          <xdr:nvSpPr>
            <xdr:cNvPr id="2162" name="Object 114" hidden="1">
              <a:extLst>
                <a:ext uri="{63B3BB69-23CF-44E3-9099-C40C66FF867C}">
                  <a14:compatExt spid="_x0000_s2162"/>
                </a:ext>
                <a:ext uri="{FF2B5EF4-FFF2-40B4-BE49-F238E27FC236}">
                  <a16:creationId xmlns:a16="http://schemas.microsoft.com/office/drawing/2014/main" id="{00000000-0008-0000-0500-000072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666750</xdr:colOff>
          <xdr:row>727</xdr:row>
          <xdr:rowOff>28575</xdr:rowOff>
        </xdr:from>
        <xdr:to>
          <xdr:col>4</xdr:col>
          <xdr:colOff>542925</xdr:colOff>
          <xdr:row>730</xdr:row>
          <xdr:rowOff>47625</xdr:rowOff>
        </xdr:to>
        <xdr:sp macro="" textlink="">
          <xdr:nvSpPr>
            <xdr:cNvPr id="2163" name="Object 115" hidden="1">
              <a:extLst>
                <a:ext uri="{63B3BB69-23CF-44E3-9099-C40C66FF867C}">
                  <a14:compatExt spid="_x0000_s2163"/>
                </a:ext>
                <a:ext uri="{FF2B5EF4-FFF2-40B4-BE49-F238E27FC236}">
                  <a16:creationId xmlns:a16="http://schemas.microsoft.com/office/drawing/2014/main" id="{00000000-0008-0000-0500-000073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1009650</xdr:colOff>
          <xdr:row>724</xdr:row>
          <xdr:rowOff>142875</xdr:rowOff>
        </xdr:from>
        <xdr:to>
          <xdr:col>5</xdr:col>
          <xdr:colOff>19050</xdr:colOff>
          <xdr:row>727</xdr:row>
          <xdr:rowOff>47625</xdr:rowOff>
        </xdr:to>
        <xdr:sp macro="" textlink="">
          <xdr:nvSpPr>
            <xdr:cNvPr id="2164" name="Object 116" hidden="1">
              <a:extLst>
                <a:ext uri="{63B3BB69-23CF-44E3-9099-C40C66FF867C}">
                  <a14:compatExt spid="_x0000_s2164"/>
                </a:ext>
                <a:ext uri="{FF2B5EF4-FFF2-40B4-BE49-F238E27FC236}">
                  <a16:creationId xmlns:a16="http://schemas.microsoft.com/office/drawing/2014/main" id="{00000000-0008-0000-0500-000074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833</xdr:row>
          <xdr:rowOff>19050</xdr:rowOff>
        </xdr:from>
        <xdr:to>
          <xdr:col>5</xdr:col>
          <xdr:colOff>123825</xdr:colOff>
          <xdr:row>836</xdr:row>
          <xdr:rowOff>19050</xdr:rowOff>
        </xdr:to>
        <xdr:sp macro="" textlink="">
          <xdr:nvSpPr>
            <xdr:cNvPr id="2165" name="Object 117" hidden="1">
              <a:extLst>
                <a:ext uri="{63B3BB69-23CF-44E3-9099-C40C66FF867C}">
                  <a14:compatExt spid="_x0000_s2165"/>
                </a:ext>
                <a:ext uri="{FF2B5EF4-FFF2-40B4-BE49-F238E27FC236}">
                  <a16:creationId xmlns:a16="http://schemas.microsoft.com/office/drawing/2014/main" id="{00000000-0008-0000-0500-000075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1000125</xdr:colOff>
          <xdr:row>879</xdr:row>
          <xdr:rowOff>66675</xdr:rowOff>
        </xdr:from>
        <xdr:to>
          <xdr:col>5</xdr:col>
          <xdr:colOff>266700</xdr:colOff>
          <xdr:row>881</xdr:row>
          <xdr:rowOff>19050</xdr:rowOff>
        </xdr:to>
        <xdr:sp macro="" textlink="">
          <xdr:nvSpPr>
            <xdr:cNvPr id="2166" name="Object 118" hidden="1">
              <a:extLst>
                <a:ext uri="{63B3BB69-23CF-44E3-9099-C40C66FF867C}">
                  <a14:compatExt spid="_x0000_s2166"/>
                </a:ext>
                <a:ext uri="{FF2B5EF4-FFF2-40B4-BE49-F238E27FC236}">
                  <a16:creationId xmlns:a16="http://schemas.microsoft.com/office/drawing/2014/main" id="{00000000-0008-0000-0500-000076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889</xdr:row>
          <xdr:rowOff>142875</xdr:rowOff>
        </xdr:from>
        <xdr:to>
          <xdr:col>4</xdr:col>
          <xdr:colOff>476250</xdr:colOff>
          <xdr:row>893</xdr:row>
          <xdr:rowOff>9525</xdr:rowOff>
        </xdr:to>
        <xdr:sp macro="" textlink="">
          <xdr:nvSpPr>
            <xdr:cNvPr id="2167" name="Object 119" hidden="1">
              <a:extLst>
                <a:ext uri="{63B3BB69-23CF-44E3-9099-C40C66FF867C}">
                  <a14:compatExt spid="_x0000_s2167"/>
                </a:ext>
                <a:ext uri="{FF2B5EF4-FFF2-40B4-BE49-F238E27FC236}">
                  <a16:creationId xmlns:a16="http://schemas.microsoft.com/office/drawing/2014/main" id="{00000000-0008-0000-0500-000077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twoCellAnchor editAs="oneCell">
    <xdr:from>
      <xdr:col>1</xdr:col>
      <xdr:colOff>381000</xdr:colOff>
      <xdr:row>379</xdr:row>
      <xdr:rowOff>19050</xdr:rowOff>
    </xdr:from>
    <xdr:to>
      <xdr:col>6</xdr:col>
      <xdr:colOff>175223</xdr:colOff>
      <xdr:row>383</xdr:row>
      <xdr:rowOff>130762</xdr:rowOff>
    </xdr:to>
    <xdr:pic>
      <xdr:nvPicPr>
        <xdr:cNvPr id="6" name="Immagin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stretch>
          <a:fillRect/>
        </a:stretch>
      </xdr:blipFill>
      <xdr:spPr>
        <a:xfrm>
          <a:off x="914400" y="97069275"/>
          <a:ext cx="3105583" cy="724001"/>
        </a:xfrm>
        <a:prstGeom prst="rect">
          <a:avLst/>
        </a:prstGeom>
      </xdr:spPr>
    </xdr:pic>
    <xdr:clientData/>
  </xdr:twoCellAnchor>
  <xdr:oneCellAnchor>
    <xdr:from>
      <xdr:col>1</xdr:col>
      <xdr:colOff>396240</xdr:colOff>
      <xdr:row>531</xdr:row>
      <xdr:rowOff>64770</xdr:rowOff>
    </xdr:from>
    <xdr:ext cx="3105583" cy="724001"/>
    <xdr:pic>
      <xdr:nvPicPr>
        <xdr:cNvPr id="8" name="Immagin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a:stretch>
          <a:fillRect/>
        </a:stretch>
      </xdr:blipFill>
      <xdr:spPr>
        <a:xfrm>
          <a:off x="396240" y="117885210"/>
          <a:ext cx="3105583" cy="724001"/>
        </a:xfrm>
        <a:prstGeom prst="rect">
          <a:avLst/>
        </a:prstGeom>
      </xdr:spPr>
    </xdr:pic>
    <xdr:clientData/>
  </xdr:oneCellAnchor>
  <xdr:oneCellAnchor>
    <xdr:from>
      <xdr:col>0</xdr:col>
      <xdr:colOff>0</xdr:colOff>
      <xdr:row>680</xdr:row>
      <xdr:rowOff>161925</xdr:rowOff>
    </xdr:from>
    <xdr:ext cx="3105583" cy="724001"/>
    <xdr:pic>
      <xdr:nvPicPr>
        <xdr:cNvPr id="10" name="Immagin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2"/>
        <a:stretch>
          <a:fillRect/>
        </a:stretch>
      </xdr:blipFill>
      <xdr:spPr>
        <a:xfrm>
          <a:off x="0" y="160267650"/>
          <a:ext cx="3105583" cy="724001"/>
        </a:xfrm>
        <a:prstGeom prst="rect">
          <a:avLst/>
        </a:prstGeom>
      </xdr:spPr>
    </xdr:pic>
    <xdr:clientData/>
  </xdr:oneCellAnchor>
  <xdr:twoCellAnchor editAs="oneCell">
    <xdr:from>
      <xdr:col>1</xdr:col>
      <xdr:colOff>258534</xdr:colOff>
      <xdr:row>368</xdr:row>
      <xdr:rowOff>134288</xdr:rowOff>
    </xdr:from>
    <xdr:to>
      <xdr:col>4</xdr:col>
      <xdr:colOff>479175</xdr:colOff>
      <xdr:row>372</xdr:row>
      <xdr:rowOff>96498</xdr:rowOff>
    </xdr:to>
    <xdr:pic>
      <xdr:nvPicPr>
        <xdr:cNvPr id="5" name="Immagin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258534" y="89440688"/>
          <a:ext cx="2506642" cy="59466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209550</xdr:colOff>
          <xdr:row>463</xdr:row>
          <xdr:rowOff>142875</xdr:rowOff>
        </xdr:from>
        <xdr:to>
          <xdr:col>4</xdr:col>
          <xdr:colOff>561975</xdr:colOff>
          <xdr:row>467</xdr:row>
          <xdr:rowOff>57150</xdr:rowOff>
        </xdr:to>
        <xdr:sp macro="" textlink="">
          <xdr:nvSpPr>
            <xdr:cNvPr id="2169" name="Object 121" hidden="1">
              <a:extLst>
                <a:ext uri="{63B3BB69-23CF-44E3-9099-C40C66FF867C}">
                  <a14:compatExt spid="_x0000_s2169"/>
                </a:ext>
                <a:ext uri="{FF2B5EF4-FFF2-40B4-BE49-F238E27FC236}">
                  <a16:creationId xmlns:a16="http://schemas.microsoft.com/office/drawing/2014/main" id="{00000000-0008-0000-0500-000079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469</xdr:row>
          <xdr:rowOff>9525</xdr:rowOff>
        </xdr:from>
        <xdr:to>
          <xdr:col>5</xdr:col>
          <xdr:colOff>114300</xdr:colOff>
          <xdr:row>471</xdr:row>
          <xdr:rowOff>152400</xdr:rowOff>
        </xdr:to>
        <xdr:sp macro="" textlink="">
          <xdr:nvSpPr>
            <xdr:cNvPr id="2170" name="Object 122" hidden="1">
              <a:extLst>
                <a:ext uri="{63B3BB69-23CF-44E3-9099-C40C66FF867C}">
                  <a14:compatExt spid="_x0000_s2170"/>
                </a:ext>
                <a:ext uri="{FF2B5EF4-FFF2-40B4-BE49-F238E27FC236}">
                  <a16:creationId xmlns:a16="http://schemas.microsoft.com/office/drawing/2014/main" id="{00000000-0008-0000-0500-00007A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478</xdr:row>
          <xdr:rowOff>57150</xdr:rowOff>
        </xdr:from>
        <xdr:to>
          <xdr:col>6</xdr:col>
          <xdr:colOff>47625</xdr:colOff>
          <xdr:row>479</xdr:row>
          <xdr:rowOff>142875</xdr:rowOff>
        </xdr:to>
        <xdr:sp macro="" textlink="">
          <xdr:nvSpPr>
            <xdr:cNvPr id="2171" name="Object 123" hidden="1">
              <a:extLst>
                <a:ext uri="{63B3BB69-23CF-44E3-9099-C40C66FF867C}">
                  <a14:compatExt spid="_x0000_s2171"/>
                </a:ext>
                <a:ext uri="{FF2B5EF4-FFF2-40B4-BE49-F238E27FC236}">
                  <a16:creationId xmlns:a16="http://schemas.microsoft.com/office/drawing/2014/main" id="{00000000-0008-0000-0500-00007B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613</xdr:row>
          <xdr:rowOff>142875</xdr:rowOff>
        </xdr:from>
        <xdr:to>
          <xdr:col>4</xdr:col>
          <xdr:colOff>561975</xdr:colOff>
          <xdr:row>617</xdr:row>
          <xdr:rowOff>57150</xdr:rowOff>
        </xdr:to>
        <xdr:sp macro="" textlink="">
          <xdr:nvSpPr>
            <xdr:cNvPr id="2172" name="Object 124" hidden="1">
              <a:extLst>
                <a:ext uri="{63B3BB69-23CF-44E3-9099-C40C66FF867C}">
                  <a14:compatExt spid="_x0000_s2172"/>
                </a:ext>
                <a:ext uri="{FF2B5EF4-FFF2-40B4-BE49-F238E27FC236}">
                  <a16:creationId xmlns:a16="http://schemas.microsoft.com/office/drawing/2014/main" id="{00000000-0008-0000-0500-00007C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619</xdr:row>
          <xdr:rowOff>9525</xdr:rowOff>
        </xdr:from>
        <xdr:to>
          <xdr:col>5</xdr:col>
          <xdr:colOff>114300</xdr:colOff>
          <xdr:row>621</xdr:row>
          <xdr:rowOff>152400</xdr:rowOff>
        </xdr:to>
        <xdr:sp macro="" textlink="">
          <xdr:nvSpPr>
            <xdr:cNvPr id="2173" name="Object 125" hidden="1">
              <a:extLst>
                <a:ext uri="{63B3BB69-23CF-44E3-9099-C40C66FF867C}">
                  <a14:compatExt spid="_x0000_s2173"/>
                </a:ext>
                <a:ext uri="{FF2B5EF4-FFF2-40B4-BE49-F238E27FC236}">
                  <a16:creationId xmlns:a16="http://schemas.microsoft.com/office/drawing/2014/main" id="{00000000-0008-0000-0500-00007D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624</xdr:row>
          <xdr:rowOff>57150</xdr:rowOff>
        </xdr:from>
        <xdr:to>
          <xdr:col>6</xdr:col>
          <xdr:colOff>47625</xdr:colOff>
          <xdr:row>625</xdr:row>
          <xdr:rowOff>142875</xdr:rowOff>
        </xdr:to>
        <xdr:sp macro="" textlink="">
          <xdr:nvSpPr>
            <xdr:cNvPr id="2174" name="Object 126" hidden="1">
              <a:extLst>
                <a:ext uri="{63B3BB69-23CF-44E3-9099-C40C66FF867C}">
                  <a14:compatExt spid="_x0000_s2174"/>
                </a:ext>
                <a:ext uri="{FF2B5EF4-FFF2-40B4-BE49-F238E27FC236}">
                  <a16:creationId xmlns:a16="http://schemas.microsoft.com/office/drawing/2014/main" id="{00000000-0008-0000-0500-00007E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761</xdr:row>
          <xdr:rowOff>142875</xdr:rowOff>
        </xdr:from>
        <xdr:to>
          <xdr:col>4</xdr:col>
          <xdr:colOff>561975</xdr:colOff>
          <xdr:row>765</xdr:row>
          <xdr:rowOff>57150</xdr:rowOff>
        </xdr:to>
        <xdr:sp macro="" textlink="">
          <xdr:nvSpPr>
            <xdr:cNvPr id="2175" name="Object 127" hidden="1">
              <a:extLst>
                <a:ext uri="{63B3BB69-23CF-44E3-9099-C40C66FF867C}">
                  <a14:compatExt spid="_x0000_s2175"/>
                </a:ext>
                <a:ext uri="{FF2B5EF4-FFF2-40B4-BE49-F238E27FC236}">
                  <a16:creationId xmlns:a16="http://schemas.microsoft.com/office/drawing/2014/main" id="{00000000-0008-0000-0500-00007F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767</xdr:row>
          <xdr:rowOff>9525</xdr:rowOff>
        </xdr:from>
        <xdr:to>
          <xdr:col>5</xdr:col>
          <xdr:colOff>114300</xdr:colOff>
          <xdr:row>769</xdr:row>
          <xdr:rowOff>152400</xdr:rowOff>
        </xdr:to>
        <xdr:sp macro="" textlink="">
          <xdr:nvSpPr>
            <xdr:cNvPr id="2176" name="Object 128" hidden="1">
              <a:extLst>
                <a:ext uri="{63B3BB69-23CF-44E3-9099-C40C66FF867C}">
                  <a14:compatExt spid="_x0000_s2176"/>
                </a:ext>
                <a:ext uri="{FF2B5EF4-FFF2-40B4-BE49-F238E27FC236}">
                  <a16:creationId xmlns:a16="http://schemas.microsoft.com/office/drawing/2014/main" id="{00000000-0008-0000-0500-000080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772</xdr:row>
          <xdr:rowOff>57150</xdr:rowOff>
        </xdr:from>
        <xdr:to>
          <xdr:col>6</xdr:col>
          <xdr:colOff>47625</xdr:colOff>
          <xdr:row>773</xdr:row>
          <xdr:rowOff>142875</xdr:rowOff>
        </xdr:to>
        <xdr:sp macro="" textlink="">
          <xdr:nvSpPr>
            <xdr:cNvPr id="2177" name="Object 129" hidden="1">
              <a:extLst>
                <a:ext uri="{63B3BB69-23CF-44E3-9099-C40C66FF867C}">
                  <a14:compatExt spid="_x0000_s2177"/>
                </a:ext>
                <a:ext uri="{FF2B5EF4-FFF2-40B4-BE49-F238E27FC236}">
                  <a16:creationId xmlns:a16="http://schemas.microsoft.com/office/drawing/2014/main" id="{00000000-0008-0000-0500-00008108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twoCellAnchor editAs="absolute">
    <xdr:from>
      <xdr:col>2</xdr:col>
      <xdr:colOff>0</xdr:colOff>
      <xdr:row>0</xdr:row>
      <xdr:rowOff>0</xdr:rowOff>
    </xdr:from>
    <xdr:to>
      <xdr:col>3</xdr:col>
      <xdr:colOff>36937</xdr:colOff>
      <xdr:row>1</xdr:row>
      <xdr:rowOff>328</xdr:rowOff>
    </xdr:to>
    <xdr:pic macro="[0]!ExportPDF">
      <xdr:nvPicPr>
        <xdr:cNvPr id="12" name="Picture 11" descr="Download with solid fill">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4"/>
        <a:stretch>
          <a:fillRect/>
        </a:stretch>
      </xdr:blipFill>
      <xdr:spPr>
        <a:xfrm>
          <a:off x="1266825" y="0"/>
          <a:ext cx="627487" cy="579448"/>
        </a:xfrm>
        <a:prstGeom prst="rect">
          <a:avLst/>
        </a:prstGeom>
      </xdr:spPr>
    </xdr:pic>
    <xdr:clientData fPrintsWithSheet="0"/>
  </xdr:twoCellAnchor>
  <xdr:twoCellAnchor editAs="absolute">
    <xdr:from>
      <xdr:col>0</xdr:col>
      <xdr:colOff>74308</xdr:colOff>
      <xdr:row>3</xdr:row>
      <xdr:rowOff>0</xdr:rowOff>
    </xdr:from>
    <xdr:to>
      <xdr:col>5</xdr:col>
      <xdr:colOff>0</xdr:colOff>
      <xdr:row>4</xdr:row>
      <xdr:rowOff>249555</xdr:rowOff>
    </xdr:to>
    <xdr:pic>
      <xdr:nvPicPr>
        <xdr:cNvPr id="13" name="Picture 12">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308" y="962025"/>
          <a:ext cx="2964167"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xdr:row>
      <xdr:rowOff>0</xdr:rowOff>
    </xdr:from>
    <xdr:to>
      <xdr:col>12</xdr:col>
      <xdr:colOff>0</xdr:colOff>
      <xdr:row>4</xdr:row>
      <xdr:rowOff>0</xdr:rowOff>
    </xdr:to>
    <xdr:cxnSp macro="">
      <xdr:nvCxnSpPr>
        <xdr:cNvPr id="17" name="Straight Connector 16">
          <a:extLst>
            <a:ext uri="{FF2B5EF4-FFF2-40B4-BE49-F238E27FC236}">
              <a16:creationId xmlns:a16="http://schemas.microsoft.com/office/drawing/2014/main" id="{00000000-0008-0000-0500-000011000000}"/>
            </a:ext>
          </a:extLst>
        </xdr:cNvPr>
        <xdr:cNvCxnSpPr/>
      </xdr:nvCxnSpPr>
      <xdr:spPr>
        <a:xfrm flipH="1">
          <a:off x="3038475" y="866775"/>
          <a:ext cx="430530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14</xdr:row>
      <xdr:rowOff>0</xdr:rowOff>
    </xdr:from>
    <xdr:to>
      <xdr:col>2</xdr:col>
      <xdr:colOff>0</xdr:colOff>
      <xdr:row>32</xdr:row>
      <xdr:rowOff>819978</xdr:rowOff>
    </xdr:to>
    <xdr:cxnSp macro="">
      <xdr:nvCxnSpPr>
        <xdr:cNvPr id="18" name="Straight Connector 17">
          <a:extLst>
            <a:ext uri="{FF2B5EF4-FFF2-40B4-BE49-F238E27FC236}">
              <a16:creationId xmlns:a16="http://schemas.microsoft.com/office/drawing/2014/main" id="{00000000-0008-0000-0500-000012000000}"/>
            </a:ext>
          </a:extLst>
        </xdr:cNvPr>
        <xdr:cNvCxnSpPr/>
      </xdr:nvCxnSpPr>
      <xdr:spPr>
        <a:xfrm flipV="1">
          <a:off x="1267239" y="2990022"/>
          <a:ext cx="0" cy="6742043"/>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xdr:colOff>
      <xdr:row>32</xdr:row>
      <xdr:rowOff>691267</xdr:rowOff>
    </xdr:from>
    <xdr:to>
      <xdr:col>11</xdr:col>
      <xdr:colOff>1</xdr:colOff>
      <xdr:row>32</xdr:row>
      <xdr:rowOff>1724026</xdr:rowOff>
    </xdr:to>
    <xdr:sp macro="" textlink="">
      <xdr:nvSpPr>
        <xdr:cNvPr id="34" name="TextBox 33">
          <a:extLst>
            <a:ext uri="{FF2B5EF4-FFF2-40B4-BE49-F238E27FC236}">
              <a16:creationId xmlns:a16="http://schemas.microsoft.com/office/drawing/2014/main" id="{00000000-0008-0000-0500-000022000000}"/>
            </a:ext>
          </a:extLst>
        </xdr:cNvPr>
        <xdr:cNvSpPr txBox="1"/>
      </xdr:nvSpPr>
      <xdr:spPr>
        <a:xfrm>
          <a:off x="1267240" y="9603354"/>
          <a:ext cx="5574196" cy="1032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it-IT" sz="600" cap="none" baseline="0">
              <a:latin typeface="Verdana" panose="020B0604030504040204" pitchFamily="34" charset="0"/>
              <a:ea typeface="Verdana" panose="020B0604030504040204" pitchFamily="34" charset="0"/>
            </a:rPr>
            <a:t>Le verifiche sono effettuate in accordo con il D.M.  Infrastrutture  17/1/2008 e la C.M. 2/2/2009  n. 617 delC.S.LL.PP, integrate ove necessario con la UNI-EN 1995-1-1/2014. Le proprietà dei materiali fanno riferimento alle seguenti normative: UNI-EN 338:2016, UNI-EN 14080:2013.</a:t>
          </a:r>
        </a:p>
        <a:p>
          <a:endParaRPr lang="it-IT" sz="600" cap="none" baseline="0">
            <a:latin typeface="Verdana" panose="020B0604030504040204" pitchFamily="34" charset="0"/>
            <a:ea typeface="Verdana" panose="020B0604030504040204" pitchFamily="34" charset="0"/>
          </a:endParaRPr>
        </a:p>
        <a:p>
          <a:r>
            <a:rPr lang="it-IT" sz="600" cap="none" baseline="0">
              <a:latin typeface="Verdana" panose="020B0604030504040204" pitchFamily="34" charset="0"/>
              <a:ea typeface="Verdana" panose="020B0604030504040204" pitchFamily="34" charset="0"/>
            </a:rPr>
            <a:t>Per le caratteristiche dei connettori, si è fatto riferimento alle seguenti normative di prodotto:</a:t>
          </a:r>
        </a:p>
        <a:p>
          <a:r>
            <a:rPr lang="it-IT" sz="600" cap="none" baseline="0">
              <a:latin typeface="Verdana" panose="020B0604030504040204" pitchFamily="34" charset="0"/>
              <a:ea typeface="Verdana" panose="020B0604030504040204" pitchFamily="34" charset="0"/>
            </a:rPr>
            <a:t>European Technical Approval ETA-11/0030                      </a:t>
          </a:r>
        </a:p>
        <a:p>
          <a:r>
            <a:rPr lang="it-IT" sz="600" cap="none" baseline="0">
              <a:latin typeface="Verdana" panose="020B0604030504040204" pitchFamily="34" charset="0"/>
              <a:ea typeface="Verdana" panose="020B0604030504040204" pitchFamily="34" charset="0"/>
            </a:rPr>
            <a:t>                                                </a:t>
          </a:r>
        </a:p>
        <a:p>
          <a:r>
            <a:rPr lang="it-IT" sz="600" cap="none" baseline="0">
              <a:latin typeface="Verdana" panose="020B0604030504040204" pitchFamily="34" charset="0"/>
              <a:ea typeface="Verdana" panose="020B0604030504040204" pitchFamily="34" charset="0"/>
            </a:rPr>
            <a:t>E' compito del progettista verificare la correttezza dei risultati forniti dal presente foglio di calcolo. </a:t>
          </a:r>
        </a:p>
      </xdr:txBody>
    </xdr:sp>
    <xdr:clientData/>
  </xdr:twoCellAnchor>
  <xdr:twoCellAnchor>
    <xdr:from>
      <xdr:col>2</xdr:col>
      <xdr:colOff>0</xdr:colOff>
      <xdr:row>32</xdr:row>
      <xdr:rowOff>66261</xdr:rowOff>
    </xdr:from>
    <xdr:to>
      <xdr:col>12</xdr:col>
      <xdr:colOff>0</xdr:colOff>
      <xdr:row>32</xdr:row>
      <xdr:rowOff>563217</xdr:rowOff>
    </xdr:to>
    <xdr:sp macro="" textlink="">
      <xdr:nvSpPr>
        <xdr:cNvPr id="36" name="TextBox 35">
          <a:extLst>
            <a:ext uri="{FF2B5EF4-FFF2-40B4-BE49-F238E27FC236}">
              <a16:creationId xmlns:a16="http://schemas.microsoft.com/office/drawing/2014/main" id="{00000000-0008-0000-0500-000024000000}"/>
            </a:ext>
          </a:extLst>
        </xdr:cNvPr>
        <xdr:cNvSpPr txBox="1"/>
      </xdr:nvSpPr>
      <xdr:spPr>
        <a:xfrm>
          <a:off x="1267239" y="8978348"/>
          <a:ext cx="6062870" cy="496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it-IT" sz="800" b="0" i="0">
              <a:solidFill>
                <a:schemeClr val="dk1"/>
              </a:solidFill>
              <a:effectLst/>
              <a:latin typeface="+mn-lt"/>
              <a:ea typeface="+mn-ea"/>
              <a:cs typeface="+mn-cs"/>
            </a:rPr>
            <a:t>© ROTHO BLAAS SRL Via dell'Adige N. 2/1 | I-39040, Cortaccia (BZ) N. REA: BZ - 120599</a:t>
          </a:r>
        </a:p>
        <a:p>
          <a:r>
            <a:rPr lang="it-IT" sz="800" b="0" i="0">
              <a:solidFill>
                <a:schemeClr val="dk1"/>
              </a:solidFill>
              <a:effectLst/>
              <a:latin typeface="+mn-lt"/>
              <a:ea typeface="+mn-ea"/>
              <a:cs typeface="+mn-cs"/>
            </a:rPr>
            <a:t>Tel. +39 0471 81 84 00</a:t>
          </a:r>
        </a:p>
        <a:p>
          <a:r>
            <a:rPr lang="it-IT" sz="800" b="0" i="0">
              <a:solidFill>
                <a:schemeClr val="dk1"/>
              </a:solidFill>
              <a:effectLst/>
              <a:latin typeface="+mn-lt"/>
              <a:ea typeface="+mn-ea"/>
              <a:cs typeface="+mn-cs"/>
            </a:rPr>
            <a:t>E-mail </a:t>
          </a:r>
          <a:r>
            <a:rPr lang="it-IT" sz="800" b="0" i="0">
              <a:solidFill>
                <a:schemeClr val="dk1"/>
              </a:solidFill>
              <a:effectLst/>
              <a:latin typeface="+mn-lt"/>
              <a:ea typeface="+mn-ea"/>
              <a:cs typeface="+mn-cs"/>
              <a:hlinkClick xmlns:r="http://schemas.openxmlformats.org/officeDocument/2006/relationships" r:id=""/>
            </a:rPr>
            <a:t>info@rothoblaas.com</a:t>
          </a:r>
          <a:endParaRPr lang="it-IT" sz="800" cap="none" baseline="0">
            <a:latin typeface="Verdana" panose="020B0604030504040204" pitchFamily="34" charset="0"/>
            <a:ea typeface="Verdana" panose="020B0604030504040204" pitchFamily="34" charset="0"/>
          </a:endParaRPr>
        </a:p>
      </xdr:txBody>
    </xdr:sp>
    <xdr:clientData/>
  </xdr:twoCellAnchor>
  <xdr:twoCellAnchor editAs="absolute">
    <xdr:from>
      <xdr:col>3</xdr:col>
      <xdr:colOff>2930</xdr:colOff>
      <xdr:row>14</xdr:row>
      <xdr:rowOff>401955</xdr:rowOff>
    </xdr:from>
    <xdr:to>
      <xdr:col>9</xdr:col>
      <xdr:colOff>3489</xdr:colOff>
      <xdr:row>18</xdr:row>
      <xdr:rowOff>2457875</xdr:rowOff>
    </xdr:to>
    <xdr:pic>
      <xdr:nvPicPr>
        <xdr:cNvPr id="41" name="Picture 40" descr="The image depicts a simple wooden table with a visible rectangular frame.&#10;&#10;AI-generated content may be incorrect.">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6"/>
        <a:stretch>
          <a:fillRect/>
        </a:stretch>
      </xdr:blipFill>
      <xdr:spPr>
        <a:xfrm>
          <a:off x="1859017" y="4000500"/>
          <a:ext cx="3820058" cy="3048425"/>
        </a:xfrm>
        <a:prstGeom prst="rect">
          <a:avLst/>
        </a:prstGeom>
      </xdr:spPr>
    </xdr:pic>
    <xdr:clientData/>
  </xdr:twoCellAnchor>
  <xdr:twoCellAnchor>
    <xdr:from>
      <xdr:col>1</xdr:col>
      <xdr:colOff>326169</xdr:colOff>
      <xdr:row>36</xdr:row>
      <xdr:rowOff>0</xdr:rowOff>
    </xdr:from>
    <xdr:to>
      <xdr:col>11</xdr:col>
      <xdr:colOff>265044</xdr:colOff>
      <xdr:row>37</xdr:row>
      <xdr:rowOff>0</xdr:rowOff>
    </xdr:to>
    <xdr:grpSp>
      <xdr:nvGrpSpPr>
        <xdr:cNvPr id="52" name="Group 51">
          <a:extLst>
            <a:ext uri="{FF2B5EF4-FFF2-40B4-BE49-F238E27FC236}">
              <a16:creationId xmlns:a16="http://schemas.microsoft.com/office/drawing/2014/main" id="{00000000-0008-0000-0500-000034000000}"/>
            </a:ext>
          </a:extLst>
        </xdr:cNvPr>
        <xdr:cNvGrpSpPr/>
      </xdr:nvGrpSpPr>
      <xdr:grpSpPr>
        <a:xfrm>
          <a:off x="421419" y="12468225"/>
          <a:ext cx="6511125" cy="1704975"/>
          <a:chOff x="425560" y="12523304"/>
          <a:chExt cx="6680919" cy="1706218"/>
        </a:xfrm>
      </xdr:grpSpPr>
      <xdr:pic>
        <xdr:nvPicPr>
          <xdr:cNvPr id="44" name="Picture 43">
            <a:extLst>
              <a:ext uri="{FF2B5EF4-FFF2-40B4-BE49-F238E27FC236}">
                <a16:creationId xmlns:a16="http://schemas.microsoft.com/office/drawing/2014/main" id="{00000000-0008-0000-0500-00002C000000}"/>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712" t="29342" r="9802" b="34037"/>
          <a:stretch>
            <a:fillRect/>
          </a:stretch>
        </xdr:blipFill>
        <xdr:spPr bwMode="auto">
          <a:xfrm>
            <a:off x="1322323" y="12523304"/>
            <a:ext cx="4873068" cy="1706218"/>
          </a:xfrm>
          <a:prstGeom prst="rect">
            <a:avLst/>
          </a:prstGeom>
          <a:noFill/>
          <a:extLst>
            <a:ext uri="{909E8E84-426E-40DD-AFC4-6F175D3DCCD1}">
              <a14:hiddenFill xmlns:a14="http://schemas.microsoft.com/office/drawing/2010/main">
                <a:solidFill>
                  <a:srgbClr val="FFFFFF"/>
                </a:solidFill>
              </a14:hiddenFill>
            </a:ext>
          </a:extLst>
        </xdr:spPr>
      </xdr:pic>
      <xdr:sp macro="" textlink="B39">
        <xdr:nvSpPr>
          <xdr:cNvPr id="48" name="TextBox 47">
            <a:extLst>
              <a:ext uri="{FF2B5EF4-FFF2-40B4-BE49-F238E27FC236}">
                <a16:creationId xmlns:a16="http://schemas.microsoft.com/office/drawing/2014/main" id="{00000000-0008-0000-0500-000030000000}"/>
              </a:ext>
            </a:extLst>
          </xdr:cNvPr>
          <xdr:cNvSpPr txBox="1"/>
        </xdr:nvSpPr>
        <xdr:spPr>
          <a:xfrm>
            <a:off x="425560" y="13533121"/>
            <a:ext cx="1125193" cy="2344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EBB4674-30BF-41AF-9063-5726AACF1A20}" type="TxLink">
              <a:rPr lang="en-US" sz="1000" b="1" i="0" u="none" strike="noStrike">
                <a:solidFill>
                  <a:srgbClr val="000000"/>
                </a:solidFill>
                <a:latin typeface="Verdana"/>
                <a:ea typeface="Verdana"/>
              </a:rPr>
              <a:pPr algn="ctr"/>
              <a:t>At support</a:t>
            </a:fld>
            <a:endParaRPr lang="it-IT" sz="900">
              <a:solidFill>
                <a:srgbClr val="000000"/>
              </a:solidFill>
              <a:latin typeface="Verdana" panose="020B0604030504040204" pitchFamily="34" charset="0"/>
              <a:ea typeface="Verdana" panose="020B0604030504040204" pitchFamily="34" charset="0"/>
            </a:endParaRPr>
          </a:p>
        </xdr:txBody>
      </xdr:sp>
      <xdr:sp macro="" textlink="H39">
        <xdr:nvSpPr>
          <xdr:cNvPr id="49" name="TextBox 48">
            <a:extLst>
              <a:ext uri="{FF2B5EF4-FFF2-40B4-BE49-F238E27FC236}">
                <a16:creationId xmlns:a16="http://schemas.microsoft.com/office/drawing/2014/main" id="{00000000-0008-0000-0500-000031000000}"/>
              </a:ext>
            </a:extLst>
          </xdr:cNvPr>
          <xdr:cNvSpPr txBox="1"/>
        </xdr:nvSpPr>
        <xdr:spPr>
          <a:xfrm>
            <a:off x="3262685" y="12999886"/>
            <a:ext cx="1119478" cy="255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537C7AB8-B581-4553-8834-55755C44EBF0}" type="TxLink">
              <a:rPr lang="en-US" sz="1000" b="1" i="0" u="none" strike="noStrike">
                <a:solidFill>
                  <a:srgbClr val="000000"/>
                </a:solidFill>
                <a:latin typeface="Verdana"/>
                <a:ea typeface="Verdana"/>
              </a:rPr>
              <a:pPr algn="ctr"/>
              <a:t>At mid span</a:t>
            </a:fld>
            <a:endParaRPr lang="it-IT" sz="900">
              <a:solidFill>
                <a:srgbClr val="000000"/>
              </a:solidFill>
              <a:latin typeface="Verdana" panose="020B0604030504040204" pitchFamily="34" charset="0"/>
              <a:ea typeface="Verdana" panose="020B0604030504040204" pitchFamily="34" charset="0"/>
            </a:endParaRPr>
          </a:p>
        </xdr:txBody>
      </xdr:sp>
      <xdr:sp macro="" textlink="B39">
        <xdr:nvSpPr>
          <xdr:cNvPr id="51" name="TextBox 50">
            <a:extLst>
              <a:ext uri="{FF2B5EF4-FFF2-40B4-BE49-F238E27FC236}">
                <a16:creationId xmlns:a16="http://schemas.microsoft.com/office/drawing/2014/main" id="{00000000-0008-0000-0500-000033000000}"/>
              </a:ext>
            </a:extLst>
          </xdr:cNvPr>
          <xdr:cNvSpPr txBox="1"/>
        </xdr:nvSpPr>
        <xdr:spPr>
          <a:xfrm>
            <a:off x="5987001" y="13533121"/>
            <a:ext cx="1119478" cy="226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EBB4674-30BF-41AF-9063-5726AACF1A20}" type="TxLink">
              <a:rPr lang="en-US" sz="1000" b="1" i="0" u="none" strike="noStrike">
                <a:solidFill>
                  <a:srgbClr val="000000"/>
                </a:solidFill>
                <a:latin typeface="Verdana"/>
                <a:ea typeface="Verdana"/>
              </a:rPr>
              <a:pPr algn="ctr"/>
              <a:t>At support</a:t>
            </a:fld>
            <a:endParaRPr lang="it-IT" sz="900">
              <a:solidFill>
                <a:srgbClr val="000000"/>
              </a:solidFill>
              <a:latin typeface="Verdana" panose="020B0604030504040204" pitchFamily="34" charset="0"/>
              <a:ea typeface="Verdana" panose="020B0604030504040204" pitchFamily="34" charset="0"/>
            </a:endParaRPr>
          </a:p>
        </xdr:txBody>
      </xdr:sp>
    </xdr:grpSp>
    <xdr:clientData/>
  </xdr:twoCellAnchor>
  <xdr:oneCellAnchor>
    <xdr:from>
      <xdr:col>2</xdr:col>
      <xdr:colOff>0</xdr:colOff>
      <xdr:row>159</xdr:row>
      <xdr:rowOff>0</xdr:rowOff>
    </xdr:from>
    <xdr:ext cx="2190750" cy="323849"/>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238250" y="43119675"/>
              <a:ext cx="2190750" cy="323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r>
                          <m:rPr>
                            <m:sty m:val="p"/>
                          </m:rPr>
                          <a:rPr lang="it-IT" sz="1100" b="0" i="1">
                            <a:solidFill>
                              <a:schemeClr val="tx1"/>
                            </a:solidFill>
                            <a:effectLst/>
                            <a:latin typeface="Cambria Math" panose="02040503050406030204" pitchFamily="18" charset="0"/>
                            <a:ea typeface="+mn-ea"/>
                            <a:cs typeface="+mn-cs"/>
                          </a:rPr>
                          <m:t>γ</m:t>
                        </m:r>
                      </m:e>
                      <m:sub>
                        <m:r>
                          <a:rPr lang="it-IT" sz="1100" b="0" i="1">
                            <a:solidFill>
                              <a:schemeClr val="tx1"/>
                            </a:solidFill>
                            <a:effectLst/>
                            <a:latin typeface="Cambria Math" panose="02040503050406030204" pitchFamily="18" charset="0"/>
                            <a:ea typeface="+mn-ea"/>
                            <a:cs typeface="+mn-cs"/>
                          </a:rPr>
                          <m:t>𝑔</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𝑔</m:t>
                        </m:r>
                      </m:e>
                      <m:sub>
                        <m:r>
                          <a:rPr lang="it-IT" sz="1100" b="0" i="1">
                            <a:latin typeface="Cambria Math" panose="02040503050406030204" pitchFamily="18" charset="0"/>
                          </a:rPr>
                          <m:t>𝑘</m:t>
                        </m:r>
                      </m:sub>
                    </m:sSub>
                    <m:r>
                      <a:rPr lang="it-IT" sz="1100" b="0" i="1">
                        <a:latin typeface="Cambria Math" panose="02040503050406030204" pitchFamily="18" charset="0"/>
                      </a:rPr>
                      <m:t>⋅</m:t>
                    </m:r>
                    <m:r>
                      <a:rPr lang="it-IT" sz="1100" b="0" i="1">
                        <a:latin typeface="Cambria Math" panose="02040503050406030204" pitchFamily="18" charset="0"/>
                      </a:rPr>
                      <m:t>𝑖</m:t>
                    </m:r>
                  </m:oMath>
                </m:oMathPara>
              </a14:m>
              <a:endParaRPr lang="it-IT" sz="1100"/>
            </a:p>
          </xdr:txBody>
        </xdr:sp>
      </mc:Choice>
      <mc:Fallback xmlns="">
        <xdr:sp macro="" textlink="">
          <xdr:nvSpPr>
            <xdr:cNvPr id="7" name="TextBox 6">
              <a:extLst>
                <a:ext uri="{FF2B5EF4-FFF2-40B4-BE49-F238E27FC236}">
                  <a16:creationId xmlns:a16="http://schemas.microsoft.com/office/drawing/2014/main" id="{59939E7B-355D-1C19-BA28-5E15A48F1AA2}"/>
                </a:ext>
              </a:extLst>
            </xdr:cNvPr>
            <xdr:cNvSpPr txBox="1"/>
          </xdr:nvSpPr>
          <xdr:spPr>
            <a:xfrm>
              <a:off x="1238250" y="43119675"/>
              <a:ext cx="2190750" cy="323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𝑞_(𝐼,𝑑)=</a:t>
              </a:r>
              <a:r>
                <a:rPr lang="it-IT" sz="1100" b="0" i="0">
                  <a:solidFill>
                    <a:schemeClr val="tx1"/>
                  </a:solidFill>
                  <a:effectLst/>
                  <a:latin typeface="+mn-lt"/>
                  <a:ea typeface="+mn-ea"/>
                  <a:cs typeface="+mn-cs"/>
                </a:rPr>
                <a:t>γ_𝑔</a:t>
              </a:r>
              <a:r>
                <a:rPr lang="it-IT" sz="1100" b="0" i="0">
                  <a:latin typeface="Cambria Math" panose="02040503050406030204" pitchFamily="18" charset="0"/>
                </a:rPr>
                <a:t>⋅𝑔_𝑘⋅𝑖</a:t>
              </a:r>
              <a:endParaRPr lang="it-IT" sz="1100"/>
            </a:p>
          </xdr:txBody>
        </xdr:sp>
      </mc:Fallback>
    </mc:AlternateContent>
    <xdr:clientData/>
  </xdr:oneCellAnchor>
  <xdr:oneCellAnchor>
    <xdr:from>
      <xdr:col>2</xdr:col>
      <xdr:colOff>0</xdr:colOff>
      <xdr:row>160</xdr:row>
      <xdr:rowOff>0</xdr:rowOff>
    </xdr:from>
    <xdr:ext cx="2190750" cy="180975"/>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1238250" y="43443525"/>
              <a:ext cx="21907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d>
                      <m:dPr>
                        <m:ctrlPr>
                          <a:rPr lang="el-GR" sz="1100" b="0" i="1">
                            <a:latin typeface="Cambria Math" panose="02040503050406030204" pitchFamily="18" charset="0"/>
                          </a:rPr>
                        </m:ctrlPr>
                      </m:dPr>
                      <m:e>
                        <m:sSub>
                          <m:sSubPr>
                            <m:ctrlPr>
                              <a:rPr lang="el-GR" sz="1100" b="0" i="1">
                                <a:latin typeface="Cambria Math" panose="02040503050406030204" pitchFamily="18" charset="0"/>
                              </a:rPr>
                            </m:ctrlPr>
                          </m:sSubPr>
                          <m:e>
                            <m:r>
                              <m:rPr>
                                <m:sty m:val="p"/>
                              </m:rPr>
                              <a:rPr lang="el-GR" sz="1100" b="0" i="1">
                                <a:latin typeface="Cambria Math" panose="02040503050406030204" pitchFamily="18" charset="0"/>
                              </a:rPr>
                              <m:t>γ</m:t>
                            </m:r>
                          </m:e>
                          <m:sub>
                            <m:r>
                              <a:rPr lang="it-IT" sz="1100" b="0" i="1">
                                <a:latin typeface="Cambria Math" panose="02040503050406030204" pitchFamily="18" charset="0"/>
                              </a:rPr>
                              <m:t>𝑔</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𝑔</m:t>
                            </m:r>
                          </m:e>
                          <m:sub>
                            <m:r>
                              <a:rPr lang="it-IT" sz="1100" b="0" i="1">
                                <a:latin typeface="Cambria Math" panose="02040503050406030204" pitchFamily="18" charset="0"/>
                              </a:rPr>
                              <m:t>𝑘</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r>
                              <m:rPr>
                                <m:sty m:val="p"/>
                              </m:rPr>
                              <a:rPr lang="it-IT" sz="1100" b="0" i="1">
                                <a:solidFill>
                                  <a:schemeClr val="tx1"/>
                                </a:solidFill>
                                <a:effectLst/>
                                <a:latin typeface="Cambria Math" panose="02040503050406030204" pitchFamily="18" charset="0"/>
                                <a:ea typeface="+mn-ea"/>
                                <a:cs typeface="+mn-cs"/>
                              </a:rPr>
                              <m:t>γ</m:t>
                            </m:r>
                          </m:e>
                          <m:sub>
                            <m:r>
                              <a:rPr lang="it-IT" sz="1100" b="0" i="1">
                                <a:solidFill>
                                  <a:schemeClr val="tx1"/>
                                </a:solidFill>
                                <a:effectLst/>
                                <a:latin typeface="Cambria Math" panose="02040503050406030204" pitchFamily="18" charset="0"/>
                                <a:ea typeface="+mn-ea"/>
                                <a:cs typeface="+mn-cs"/>
                              </a:rPr>
                              <m:t>𝑞</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𝑘</m:t>
                            </m:r>
                          </m:sub>
                        </m:sSub>
                      </m:e>
                    </m:d>
                    <m:r>
                      <a:rPr lang="it-IT" sz="1100" b="0" i="1">
                        <a:latin typeface="Cambria Math" panose="02040503050406030204" pitchFamily="18" charset="0"/>
                      </a:rPr>
                      <m:t>⋅</m:t>
                    </m:r>
                    <m:r>
                      <a:rPr lang="it-IT" sz="1100" b="0" i="1">
                        <a:latin typeface="Cambria Math" panose="02040503050406030204" pitchFamily="18" charset="0"/>
                      </a:rPr>
                      <m:t>𝑖</m:t>
                    </m:r>
                  </m:oMath>
                </m:oMathPara>
              </a14:m>
              <a:endParaRPr lang="it-IT" sz="1100"/>
            </a:p>
          </xdr:txBody>
        </xdr:sp>
      </mc:Choice>
      <mc:Fallback xmlns="">
        <xdr:sp macro="" textlink="">
          <xdr:nvSpPr>
            <xdr:cNvPr id="11" name="TextBox 10">
              <a:extLst>
                <a:ext uri="{FF2B5EF4-FFF2-40B4-BE49-F238E27FC236}">
                  <a16:creationId xmlns:a16="http://schemas.microsoft.com/office/drawing/2014/main" id="{9EDB9543-7209-C028-8B97-D615007AFB50}"/>
                </a:ext>
              </a:extLst>
            </xdr:cNvPr>
            <xdr:cNvSpPr txBox="1"/>
          </xdr:nvSpPr>
          <xdr:spPr>
            <a:xfrm>
              <a:off x="1238250" y="43443525"/>
              <a:ext cx="219075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𝑞_(𝐼𝐼,𝑑)=(</a:t>
              </a:r>
              <a:r>
                <a:rPr lang="el-GR" sz="1100" b="0" i="0">
                  <a:latin typeface="Cambria Math" panose="02040503050406030204" pitchFamily="18" charset="0"/>
                </a:rPr>
                <a:t>γ</a:t>
              </a:r>
              <a:r>
                <a:rPr lang="it-IT" sz="1100" b="0" i="0">
                  <a:latin typeface="Cambria Math" panose="02040503050406030204" pitchFamily="18" charset="0"/>
                </a:rPr>
                <a:t>_𝑔⋅𝑔_𝑘+</a:t>
              </a:r>
              <a:r>
                <a:rPr lang="it-IT" sz="1100" b="0" i="0">
                  <a:solidFill>
                    <a:schemeClr val="tx1"/>
                  </a:solidFill>
                  <a:effectLst/>
                  <a:latin typeface="+mn-lt"/>
                  <a:ea typeface="+mn-ea"/>
                  <a:cs typeface="+mn-cs"/>
                </a:rPr>
                <a:t>γ_</a:t>
              </a:r>
              <a:r>
                <a:rPr lang="it-IT" sz="1100" b="0" i="0">
                  <a:solidFill>
                    <a:schemeClr val="tx1"/>
                  </a:solidFill>
                  <a:effectLst/>
                  <a:latin typeface="Cambria Math" panose="02040503050406030204" pitchFamily="18" charset="0"/>
                  <a:ea typeface="+mn-ea"/>
                  <a:cs typeface="+mn-cs"/>
                </a:rPr>
                <a:t>𝑞</a:t>
              </a:r>
              <a:r>
                <a:rPr lang="it-IT" sz="1100" b="0" i="0">
                  <a:latin typeface="Cambria Math" panose="02040503050406030204" pitchFamily="18" charset="0"/>
                </a:rPr>
                <a:t>⋅𝑞_𝑘 )⋅𝑖</a:t>
              </a:r>
              <a:endParaRPr lang="it-IT" sz="1100"/>
            </a:p>
          </xdr:txBody>
        </xdr:sp>
      </mc:Fallback>
    </mc:AlternateContent>
    <xdr:clientData/>
  </xdr:oneCellAnchor>
  <xdr:oneCellAnchor>
    <xdr:from>
      <xdr:col>8</xdr:col>
      <xdr:colOff>0</xdr:colOff>
      <xdr:row>166</xdr:row>
      <xdr:rowOff>0</xdr:rowOff>
    </xdr:from>
    <xdr:ext cx="1143000" cy="342900"/>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495300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m:rPr>
                                    <m:sty m:val="p"/>
                                  </m:rPr>
                                  <a:rPr lang="it-IT" sz="1100" b="0" i="1">
                                    <a:latin typeface="Cambria Math" panose="02040503050406030204" pitchFamily="18" charset="0"/>
                                  </a:rPr>
                                  <m:t>ℓ</m:t>
                                </m:r>
                              </m:e>
                              <m:sup>
                                <m:r>
                                  <a:rPr lang="it-IT" sz="1100" b="0" i="1">
                                    <a:latin typeface="Cambria Math" panose="02040503050406030204" pitchFamily="18" charset="0"/>
                                  </a:rPr>
                                  <m:t>2</m:t>
                                </m:r>
                              </m:sup>
                            </m:sSup>
                          </m:sub>
                        </m:sSub>
                      </m:num>
                      <m:den>
                        <m:r>
                          <a:rPr lang="it-IT" sz="1100" b="0" i="1">
                            <a:latin typeface="Cambria Math" panose="02040503050406030204" pitchFamily="18" charset="0"/>
                          </a:rPr>
                          <m:t>8</m:t>
                        </m:r>
                      </m:den>
                    </m:f>
                  </m:oMath>
                </m:oMathPara>
              </a14:m>
              <a:endParaRPr lang="it-IT" sz="1100"/>
            </a:p>
          </xdr:txBody>
        </xdr:sp>
      </mc:Choice>
      <mc:Fallback xmlns="">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495300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𝑀_(𝐼𝐼,𝑑)=𝑞_(𝐼𝐼,𝑑⋅ℓ^2 )/8</a:t>
              </a:r>
              <a:endParaRPr lang="it-IT" sz="1100"/>
            </a:p>
          </xdr:txBody>
        </xdr:sp>
      </mc:Fallback>
    </mc:AlternateContent>
    <xdr:clientData/>
  </xdr:oneCellAnchor>
  <xdr:oneCellAnchor>
    <xdr:from>
      <xdr:col>8</xdr:col>
      <xdr:colOff>0</xdr:colOff>
      <xdr:row>167</xdr:row>
      <xdr:rowOff>1</xdr:rowOff>
    </xdr:from>
    <xdr:ext cx="1143000" cy="342900"/>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4953000" y="46510576"/>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𝑉</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m:t>
                            </m:r>
                            <m:r>
                              <m:rPr>
                                <m:sty m:val="p"/>
                              </m:rPr>
                              <a:rPr lang="it-IT" sz="1100" b="0" i="1">
                                <a:latin typeface="Cambria Math" panose="02040503050406030204" pitchFamily="18" charset="0"/>
                              </a:rPr>
                              <m:t>ℓ</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4953000" y="46510576"/>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𝑉_(𝐼𝐼,𝑑)=𝑞_(𝐼𝐼,𝑑⋅ℓ)/2</a:t>
              </a:r>
              <a:endParaRPr lang="it-IT" sz="1100"/>
            </a:p>
          </xdr:txBody>
        </xdr:sp>
      </mc:Fallback>
    </mc:AlternateContent>
    <xdr:clientData/>
  </xdr:oneCellAnchor>
  <xdr:oneCellAnchor>
    <xdr:from>
      <xdr:col>2</xdr:col>
      <xdr:colOff>0</xdr:colOff>
      <xdr:row>166</xdr:row>
      <xdr:rowOff>0</xdr:rowOff>
    </xdr:from>
    <xdr:ext cx="1143000" cy="342900"/>
    <mc:AlternateContent xmlns:mc="http://schemas.openxmlformats.org/markup-compatibility/2006" xmlns:a14="http://schemas.microsoft.com/office/drawing/2010/main">
      <mc:Choice Requires="a14">
        <xdr:sp macro="" textlink="">
          <xdr:nvSpPr>
            <xdr:cNvPr id="4964" name="TextBox 4963">
              <a:extLst>
                <a:ext uri="{FF2B5EF4-FFF2-40B4-BE49-F238E27FC236}">
                  <a16:creationId xmlns:a16="http://schemas.microsoft.com/office/drawing/2014/main" id="{00000000-0008-0000-0500-000064130000}"/>
                </a:ext>
              </a:extLst>
            </xdr:cNvPr>
            <xdr:cNvSpPr txBox="1"/>
          </xdr:nvSpPr>
          <xdr:spPr>
            <a:xfrm>
              <a:off x="123825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𝑀</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m:t>
                            </m:r>
                            <m:sSup>
                              <m:sSupPr>
                                <m:ctrlPr>
                                  <a:rPr lang="it-IT" sz="1100" b="0" i="1">
                                    <a:latin typeface="Cambria Math" panose="02040503050406030204" pitchFamily="18" charset="0"/>
                                  </a:rPr>
                                </m:ctrlPr>
                              </m:sSupPr>
                              <m:e>
                                <m:r>
                                  <m:rPr>
                                    <m:sty m:val="p"/>
                                  </m:rPr>
                                  <a:rPr lang="it-IT" sz="1100" b="0" i="1">
                                    <a:latin typeface="Cambria Math" panose="02040503050406030204" pitchFamily="18" charset="0"/>
                                  </a:rPr>
                                  <m:t>ℓ</m:t>
                                </m:r>
                              </m:e>
                              <m:sup>
                                <m:r>
                                  <a:rPr lang="it-IT" sz="1100" b="0" i="1">
                                    <a:latin typeface="Cambria Math" panose="02040503050406030204" pitchFamily="18" charset="0"/>
                                  </a:rPr>
                                  <m:t>2</m:t>
                                </m:r>
                              </m:sup>
                            </m:sSup>
                          </m:sub>
                        </m:sSub>
                      </m:num>
                      <m:den>
                        <m:r>
                          <a:rPr lang="it-IT" sz="1100" b="0" i="1">
                            <a:latin typeface="Cambria Math" panose="02040503050406030204" pitchFamily="18" charset="0"/>
                          </a:rPr>
                          <m:t>8</m:t>
                        </m:r>
                      </m:den>
                    </m:f>
                  </m:oMath>
                </m:oMathPara>
              </a14:m>
              <a:endParaRPr lang="it-IT" sz="1100"/>
            </a:p>
          </xdr:txBody>
        </xdr:sp>
      </mc:Choice>
      <mc:Fallback xmlns="">
        <xdr:sp macro="" textlink="">
          <xdr:nvSpPr>
            <xdr:cNvPr id="4964" name="TextBox 4963">
              <a:extLst>
                <a:ext uri="{FF2B5EF4-FFF2-40B4-BE49-F238E27FC236}">
                  <a16:creationId xmlns:a16="http://schemas.microsoft.com/office/drawing/2014/main" id="{00000000-0008-0000-0500-000064130000}"/>
                </a:ext>
              </a:extLst>
            </xdr:cNvPr>
            <xdr:cNvSpPr txBox="1"/>
          </xdr:nvSpPr>
          <xdr:spPr>
            <a:xfrm>
              <a:off x="1238250" y="45986700"/>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𝑀_(𝐼,𝑑)=𝑞_(𝐼,𝑑⋅ℓ^2 )/8</a:t>
              </a:r>
              <a:endParaRPr lang="it-IT" sz="1100"/>
            </a:p>
          </xdr:txBody>
        </xdr:sp>
      </mc:Fallback>
    </mc:AlternateContent>
    <xdr:clientData/>
  </xdr:oneCellAnchor>
  <xdr:oneCellAnchor>
    <xdr:from>
      <xdr:col>2</xdr:col>
      <xdr:colOff>0</xdr:colOff>
      <xdr:row>167</xdr:row>
      <xdr:rowOff>0</xdr:rowOff>
    </xdr:from>
    <xdr:ext cx="1143000" cy="342900"/>
    <mc:AlternateContent xmlns:mc="http://schemas.openxmlformats.org/markup-compatibility/2006" xmlns:a14="http://schemas.microsoft.com/office/drawing/2010/main">
      <mc:Choice Requires="a14">
        <xdr:sp macro="" textlink="">
          <xdr:nvSpPr>
            <xdr:cNvPr id="4965" name="TextBox 4964">
              <a:extLst>
                <a:ext uri="{FF2B5EF4-FFF2-40B4-BE49-F238E27FC236}">
                  <a16:creationId xmlns:a16="http://schemas.microsoft.com/office/drawing/2014/main" id="{00000000-0008-0000-0500-000065130000}"/>
                </a:ext>
              </a:extLst>
            </xdr:cNvPr>
            <xdr:cNvSpPr txBox="1"/>
          </xdr:nvSpPr>
          <xdr:spPr>
            <a:xfrm>
              <a:off x="1238250" y="46510575"/>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𝑉</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𝑞</m:t>
                            </m:r>
                          </m:e>
                          <m:sub>
                            <m:r>
                              <a:rPr lang="it-IT" sz="1100" b="0" i="1">
                                <a:latin typeface="Cambria Math" panose="02040503050406030204" pitchFamily="18" charset="0"/>
                              </a:rPr>
                              <m:t>𝐼</m:t>
                            </m:r>
                            <m:r>
                              <a:rPr lang="it-IT" sz="1100" b="0" i="1">
                                <a:latin typeface="Cambria Math" panose="02040503050406030204" pitchFamily="18" charset="0"/>
                              </a:rPr>
                              <m:t>,</m:t>
                            </m:r>
                            <m:r>
                              <a:rPr lang="it-IT" sz="1100" b="0" i="1">
                                <a:latin typeface="Cambria Math" panose="02040503050406030204" pitchFamily="18" charset="0"/>
                              </a:rPr>
                              <m:t>𝑑</m:t>
                            </m:r>
                            <m:r>
                              <a:rPr lang="it-IT" sz="1100" b="0" i="1">
                                <a:latin typeface="Cambria Math" panose="02040503050406030204" pitchFamily="18" charset="0"/>
                              </a:rPr>
                              <m:t>⋅</m:t>
                            </m:r>
                            <m:r>
                              <m:rPr>
                                <m:sty m:val="p"/>
                              </m:rPr>
                              <a:rPr lang="it-IT" sz="1100" b="0" i="1">
                                <a:latin typeface="Cambria Math" panose="02040503050406030204" pitchFamily="18" charset="0"/>
                              </a:rPr>
                              <m:t>ℓ</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4965" name="TextBox 4964">
              <a:extLst>
                <a:ext uri="{FF2B5EF4-FFF2-40B4-BE49-F238E27FC236}">
                  <a16:creationId xmlns:a16="http://schemas.microsoft.com/office/drawing/2014/main" id="{00000000-0008-0000-0500-000065130000}"/>
                </a:ext>
              </a:extLst>
            </xdr:cNvPr>
            <xdr:cNvSpPr txBox="1"/>
          </xdr:nvSpPr>
          <xdr:spPr>
            <a:xfrm>
              <a:off x="1238250" y="46510575"/>
              <a:ext cx="11430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𝑉_(𝐼,𝑑)=𝑞_(𝐼,𝑑⋅ℓ)/2</a:t>
              </a:r>
              <a:endParaRPr lang="it-IT" sz="1100"/>
            </a:p>
          </xdr:txBody>
        </xdr:sp>
      </mc:Fallback>
    </mc:AlternateContent>
    <xdr:clientData/>
  </xdr:oneCellAnchor>
  <xdr:oneCellAnchor>
    <xdr:from>
      <xdr:col>1</xdr:col>
      <xdr:colOff>1138858</xdr:colOff>
      <xdr:row>181</xdr:row>
      <xdr:rowOff>0</xdr:rowOff>
    </xdr:from>
    <xdr:ext cx="1147142" cy="647700"/>
    <mc:AlternateContent xmlns:mc="http://schemas.openxmlformats.org/markup-compatibility/2006" xmlns:a14="http://schemas.microsoft.com/office/drawing/2010/main">
      <mc:Choice Requires="a14">
        <xdr:sp macro="" textlink="">
          <xdr:nvSpPr>
            <xdr:cNvPr id="4966" name="TextBox 4965">
              <a:extLst>
                <a:ext uri="{FF2B5EF4-FFF2-40B4-BE49-F238E27FC236}">
                  <a16:creationId xmlns:a16="http://schemas.microsoft.com/office/drawing/2014/main" id="{00000000-0008-0000-0500-000066130000}"/>
                </a:ext>
              </a:extLst>
            </xdr:cNvPr>
            <xdr:cNvSpPr txBox="1"/>
          </xdr:nvSpPr>
          <xdr:spPr>
            <a:xfrm>
              <a:off x="1234108" y="487299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ℎ</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ℎ</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4966" name="TextBox 4965">
              <a:extLst>
                <a:ext uri="{FF2B5EF4-FFF2-40B4-BE49-F238E27FC236}">
                  <a16:creationId xmlns:a16="http://schemas.microsoft.com/office/drawing/2014/main" id="{12E9254F-3879-A5E4-8CC6-A742774FB7D8}"/>
                </a:ext>
              </a:extLst>
            </xdr:cNvPr>
            <xdr:cNvSpPr txBox="1"/>
          </xdr:nvSpPr>
          <xdr:spPr>
            <a:xfrm>
              <a:off x="1234108" y="487299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184</xdr:row>
      <xdr:rowOff>0</xdr:rowOff>
    </xdr:from>
    <xdr:ext cx="2286000" cy="361950"/>
    <mc:AlternateContent xmlns:mc="http://schemas.openxmlformats.org/markup-compatibility/2006" xmlns:a14="http://schemas.microsoft.com/office/drawing/2010/main">
      <mc:Choice Requires="a14">
        <xdr:sp macro="" textlink="">
          <xdr:nvSpPr>
            <xdr:cNvPr id="4967" name="TextBox 4966">
              <a:extLst>
                <a:ext uri="{FF2B5EF4-FFF2-40B4-BE49-F238E27FC236}">
                  <a16:creationId xmlns:a16="http://schemas.microsoft.com/office/drawing/2014/main" id="{00000000-0008-0000-0500-000067130000}"/>
                </a:ext>
              </a:extLst>
            </xdr:cNvPr>
            <xdr:cNvSpPr txBox="1"/>
          </xdr:nvSpPr>
          <xdr:spPr>
            <a:xfrm>
              <a:off x="95250" y="501681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=0</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4967" name="TextBox 4966">
              <a:extLst>
                <a:ext uri="{FF2B5EF4-FFF2-40B4-BE49-F238E27FC236}">
                  <a16:creationId xmlns:a16="http://schemas.microsoft.com/office/drawing/2014/main" id="{482CE1BC-CE7E-F18D-C0FB-3C1014F5F525}"/>
                </a:ext>
              </a:extLst>
            </xdr:cNvPr>
            <xdr:cNvSpPr txBox="1"/>
          </xdr:nvSpPr>
          <xdr:spPr>
            <a:xfrm>
              <a:off x="95250" y="501681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r>
                <a:rPr lang="it-IT" sz="1100" b="0" i="0">
                  <a:latin typeface="Cambria Math" panose="02040503050406030204" pitchFamily="18" charset="0"/>
                </a:rPr>
                <a:t>(𝐸𝐽_∞ )_(𝑡=0)=(𝐸𝐽)_(𝑡=0)+</a:t>
              </a:r>
              <a:r>
                <a:rPr lang="it-IT" sz="1100" b="0" i="0">
                  <a:solidFill>
                    <a:schemeClr val="tx1"/>
                  </a:solidFill>
                  <a:effectLst/>
                  <a:latin typeface="+mn-lt"/>
                  <a:ea typeface="+mn-ea"/>
                  <a:cs typeface="+mn-cs"/>
                </a:rPr>
                <a:t>(𝐸</a:t>
              </a:r>
              <a:r>
                <a:rPr lang="it-IT" sz="1100" b="0" i="0">
                  <a:solidFill>
                    <a:schemeClr val="tx1"/>
                  </a:solidFill>
                  <a:effectLst/>
                  <a:latin typeface="Cambria Math" panose="02040503050406030204" pitchFamily="18" charset="0"/>
                  <a:ea typeface="+mn-ea"/>
                  <a:cs typeface="+mn-cs"/>
                </a:rPr>
                <a:t>𝐴</a:t>
              </a:r>
              <a:r>
                <a:rPr lang="it-IT" sz="1100" b="0" i="0">
                  <a:solidFill>
                    <a:schemeClr val="tx1"/>
                  </a:solidFill>
                  <a:effectLst/>
                  <a:latin typeface="+mn-lt"/>
                  <a:ea typeface="+mn-ea"/>
                  <a:cs typeface="+mn-cs"/>
                </a:rPr>
                <a:t>)_(𝑡=0)</a:t>
              </a:r>
              <a:r>
                <a:rPr lang="it-IT" sz="1100" b="0" i="0">
                  <a:solidFill>
                    <a:schemeClr val="tx1"/>
                  </a:solidFill>
                  <a:effectLst/>
                  <a:latin typeface="Cambria Math" panose="02040503050406030204" pitchFamily="18" charset="0"/>
                  <a:ea typeface="+mn-ea"/>
                  <a:cs typeface="+mn-cs"/>
                </a:rPr>
                <a:t>⋅𝑎^2</a:t>
              </a:r>
              <a:endParaRPr lang="it-IT" sz="1100"/>
            </a:p>
          </xdr:txBody>
        </xdr:sp>
      </mc:Fallback>
    </mc:AlternateContent>
    <xdr:clientData/>
  </xdr:oneCellAnchor>
  <xdr:oneCellAnchor>
    <xdr:from>
      <xdr:col>1</xdr:col>
      <xdr:colOff>0</xdr:colOff>
      <xdr:row>188</xdr:row>
      <xdr:rowOff>0</xdr:rowOff>
    </xdr:from>
    <xdr:ext cx="2286000" cy="476250"/>
    <mc:AlternateContent xmlns:mc="http://schemas.openxmlformats.org/markup-compatibility/2006" xmlns:a14="http://schemas.microsoft.com/office/drawing/2010/main">
      <mc:Choice Requires="a14">
        <xdr:sp macro="" textlink="">
          <xdr:nvSpPr>
            <xdr:cNvPr id="5347" name="TextBox 5346">
              <a:extLst>
                <a:ext uri="{FF2B5EF4-FFF2-40B4-BE49-F238E27FC236}">
                  <a16:creationId xmlns:a16="http://schemas.microsoft.com/office/drawing/2014/main" id="{00000000-0008-0000-0500-0000E3140000}"/>
                </a:ext>
              </a:extLst>
            </xdr:cNvPr>
            <xdr:cNvSpPr txBox="1"/>
          </xdr:nvSpPr>
          <xdr:spPr>
            <a:xfrm>
              <a:off x="95250" y="505015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m:rPr>
                                        <m:sty m:val="p"/>
                                      </m:rP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5347" name="TextBox 5346">
              <a:extLst>
                <a:ext uri="{FF2B5EF4-FFF2-40B4-BE49-F238E27FC236}">
                  <a16:creationId xmlns:a16="http://schemas.microsoft.com/office/drawing/2014/main" id="{EB0601C3-DB47-B921-C795-F8C79443BD56}"/>
                </a:ext>
              </a:extLst>
            </xdr:cNvPr>
            <xdr:cNvSpPr txBox="1"/>
          </xdr:nvSpPr>
          <xdr:spPr>
            <a:xfrm>
              <a:off x="95250" y="505015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1</xdr:col>
      <xdr:colOff>0</xdr:colOff>
      <xdr:row>190</xdr:row>
      <xdr:rowOff>0</xdr:rowOff>
    </xdr:from>
    <xdr:ext cx="2286000" cy="476250"/>
    <mc:AlternateContent xmlns:mc="http://schemas.openxmlformats.org/markup-compatibility/2006" xmlns:a14="http://schemas.microsoft.com/office/drawing/2010/main">
      <mc:Choice Requires="a14">
        <xdr:sp macro="" textlink="">
          <xdr:nvSpPr>
            <xdr:cNvPr id="5348" name="TextBox 5347">
              <a:extLst>
                <a:ext uri="{FF2B5EF4-FFF2-40B4-BE49-F238E27FC236}">
                  <a16:creationId xmlns:a16="http://schemas.microsoft.com/office/drawing/2014/main" id="{00000000-0008-0000-0500-0000E4140000}"/>
                </a:ext>
              </a:extLst>
            </xdr:cNvPr>
            <xdr:cNvSpPr txBox="1"/>
          </xdr:nvSpPr>
          <xdr:spPr>
            <a:xfrm>
              <a:off x="95250" y="510730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5348" name="TextBox 5347">
              <a:extLst>
                <a:ext uri="{FF2B5EF4-FFF2-40B4-BE49-F238E27FC236}">
                  <a16:creationId xmlns:a16="http://schemas.microsoft.com/office/drawing/2014/main" id="{EB29CE5B-7FBF-C107-69CE-D18D80D99F47}"/>
                </a:ext>
              </a:extLst>
            </xdr:cNvPr>
            <xdr:cNvSpPr txBox="1"/>
          </xdr:nvSpPr>
          <xdr:spPr>
            <a:xfrm>
              <a:off x="95250" y="510730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mn-lt"/>
                  <a:ea typeface="+mn-ea"/>
                  <a:cs typeface="+mn-cs"/>
                </a:rPr>
                <a:t> 𝐴_1 𝑎</a:t>
              </a:r>
              <a:r>
                <a:rPr lang="it-IT" sz="1100" b="0" i="0">
                  <a:solidFill>
                    <a:schemeClr val="tx1"/>
                  </a:solidFill>
                  <a:effectLst/>
                  <a:latin typeface="Cambria Math" panose="02040503050406030204" pitchFamily="18" charset="0"/>
                  <a:ea typeface="+mn-ea"/>
                  <a:cs typeface="+mn-cs"/>
                </a:rPr>
                <a:t>)/(</a:t>
              </a:r>
              <a:r>
                <a:rPr lang="it-IT" sz="1100" b="0" i="0">
                  <a:solidFill>
                    <a:schemeClr val="tx1"/>
                  </a:solidFill>
                  <a:effectLst/>
                  <a:latin typeface="+mn-lt"/>
                  <a:ea typeface="+mn-ea"/>
                  <a:cs typeface="+mn-cs"/>
                </a:rPr>
                <a:t>𝛾_1 𝐸_1 𝐴_1</a:t>
              </a:r>
              <a:r>
                <a:rPr lang="it-IT" sz="1100" b="0" i="0">
                  <a:solidFill>
                    <a:schemeClr val="tx1"/>
                  </a:solidFill>
                  <a:effectLst/>
                  <a:latin typeface="Cambria Math" panose="02040503050406030204" pitchFamily="18" charset="0"/>
                  <a:ea typeface="+mn-ea"/>
                  <a:cs typeface="+mn-cs"/>
                </a:rPr>
                <a:t>+𝐸_2 𝐴_2 )</a:t>
              </a:r>
              <a:endParaRPr lang="it-IT" sz="1100"/>
            </a:p>
          </xdr:txBody>
        </xdr:sp>
      </mc:Fallback>
    </mc:AlternateContent>
    <xdr:clientData/>
  </xdr:oneCellAnchor>
  <xdr:oneCellAnchor>
    <xdr:from>
      <xdr:col>1</xdr:col>
      <xdr:colOff>0</xdr:colOff>
      <xdr:row>194</xdr:row>
      <xdr:rowOff>0</xdr:rowOff>
    </xdr:from>
    <xdr:ext cx="2286000" cy="361950"/>
    <mc:AlternateContent xmlns:mc="http://schemas.openxmlformats.org/markup-compatibility/2006" xmlns:a14="http://schemas.microsoft.com/office/drawing/2010/main">
      <mc:Choice Requires="a14">
        <xdr:sp macro="" textlink="">
          <xdr:nvSpPr>
            <xdr:cNvPr id="5350" name="TextBox 5349">
              <a:extLst>
                <a:ext uri="{FF2B5EF4-FFF2-40B4-BE49-F238E27FC236}">
                  <a16:creationId xmlns:a16="http://schemas.microsoft.com/office/drawing/2014/main" id="{00000000-0008-0000-0500-0000E6140000}"/>
                </a:ext>
              </a:extLst>
            </xdr:cNvPr>
            <xdr:cNvSpPr txBox="1"/>
          </xdr:nvSpPr>
          <xdr:spPr>
            <a:xfrm>
              <a:off x="95250" y="52006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5350" name="TextBox 5349">
              <a:extLst>
                <a:ext uri="{FF2B5EF4-FFF2-40B4-BE49-F238E27FC236}">
                  <a16:creationId xmlns:a16="http://schemas.microsoft.com/office/drawing/2014/main" id="{734698EF-2581-4AD7-BA8E-A0DFB6E09A25}"/>
                </a:ext>
              </a:extLst>
            </xdr:cNvPr>
            <xdr:cNvSpPr txBox="1"/>
          </xdr:nvSpPr>
          <xdr:spPr>
            <a:xfrm>
              <a:off x="95250" y="52006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(𝐸𝐽)_𝑒𝑓𝑓=𝐸_1 𝐽_1+𝐸_2 𝐽_2+𝐸_2 𝐴_2 𝑎_2^2+𝛾_1 𝐸_1 𝐴_1 𝑎_1^2</a:t>
              </a:r>
              <a:endParaRPr lang="it-IT" sz="1100"/>
            </a:p>
          </xdr:txBody>
        </xdr:sp>
      </mc:Fallback>
    </mc:AlternateContent>
    <xdr:clientData/>
  </xdr:oneCellAnchor>
  <xdr:oneCellAnchor>
    <xdr:from>
      <xdr:col>1</xdr:col>
      <xdr:colOff>0</xdr:colOff>
      <xdr:row>198</xdr:row>
      <xdr:rowOff>0</xdr:rowOff>
    </xdr:from>
    <xdr:ext cx="2286000" cy="381000"/>
    <mc:AlternateContent xmlns:mc="http://schemas.openxmlformats.org/markup-compatibility/2006" xmlns:a14="http://schemas.microsoft.com/office/drawing/2010/main">
      <mc:Choice Requires="a14">
        <xdr:sp macro="" textlink="">
          <xdr:nvSpPr>
            <xdr:cNvPr id="5725" name="TextBox 5724">
              <a:extLst>
                <a:ext uri="{FF2B5EF4-FFF2-40B4-BE49-F238E27FC236}">
                  <a16:creationId xmlns:a16="http://schemas.microsoft.com/office/drawing/2014/main" id="{00000000-0008-0000-0500-00005D160000}"/>
                </a:ext>
              </a:extLst>
            </xdr:cNvPr>
            <xdr:cNvSpPr txBox="1"/>
          </xdr:nvSpPr>
          <xdr:spPr>
            <a:xfrm>
              <a:off x="95250" y="527589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5725" name="TextBox 5724">
              <a:extLst>
                <a:ext uri="{FF2B5EF4-FFF2-40B4-BE49-F238E27FC236}">
                  <a16:creationId xmlns:a16="http://schemas.microsoft.com/office/drawing/2014/main" id="{1781E7E4-9B99-5ADF-4AC7-5A1847ED8C8D}"/>
                </a:ext>
              </a:extLst>
            </xdr:cNvPr>
            <xdr:cNvSpPr txBox="1"/>
          </xdr:nvSpPr>
          <xdr:spPr>
            <a:xfrm>
              <a:off x="95250" y="527589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0</xdr:colOff>
      <xdr:row>207</xdr:row>
      <xdr:rowOff>0</xdr:rowOff>
    </xdr:from>
    <xdr:ext cx="2286000" cy="361950"/>
    <mc:AlternateContent xmlns:mc="http://schemas.openxmlformats.org/markup-compatibility/2006" xmlns:a14="http://schemas.microsoft.com/office/drawing/2010/main">
      <mc:Choice Requires="a14">
        <xdr:sp macro="" textlink="">
          <xdr:nvSpPr>
            <xdr:cNvPr id="6798" name="TextBox 6797">
              <a:extLst>
                <a:ext uri="{FF2B5EF4-FFF2-40B4-BE49-F238E27FC236}">
                  <a16:creationId xmlns:a16="http://schemas.microsoft.com/office/drawing/2014/main" id="{00000000-0008-0000-0500-00008E1A0000}"/>
                </a:ext>
              </a:extLst>
            </xdr:cNvPr>
            <xdr:cNvSpPr txBox="1"/>
          </xdr:nvSpPr>
          <xdr:spPr>
            <a:xfrm>
              <a:off x="95250" y="543496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6798" name="TextBox 6797">
              <a:extLst>
                <a:ext uri="{FF2B5EF4-FFF2-40B4-BE49-F238E27FC236}">
                  <a16:creationId xmlns:a16="http://schemas.microsoft.com/office/drawing/2014/main" id="{10B28B15-C3D8-4396-A8E4-35C7738544FC}"/>
                </a:ext>
              </a:extLst>
            </xdr:cNvPr>
            <xdr:cNvSpPr txBox="1"/>
          </xdr:nvSpPr>
          <xdr:spPr>
            <a:xfrm>
              <a:off x="95250" y="543496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mn-lt"/>
                  <a:ea typeface="+mn-ea"/>
                  <a:cs typeface="+mn-cs"/>
                </a:rPr>
                <a:t>,𝑚𝑒𝑎𝑛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mn-lt"/>
                  <a:ea typeface="+mn-ea"/>
                  <a:cs typeface="+mn-cs"/>
                </a:rPr>
                <a:t>𝐸_(0,𝑚𝑒𝑎𝑛)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1+𝜓_2⋅𝑘_𝑑𝑒𝑓 )</a:t>
              </a:r>
              <a:endParaRPr lang="it-IT" sz="1100"/>
            </a:p>
          </xdr:txBody>
        </xdr:sp>
      </mc:Fallback>
    </mc:AlternateContent>
    <xdr:clientData/>
  </xdr:oneCellAnchor>
  <xdr:oneCellAnchor>
    <xdr:from>
      <xdr:col>7</xdr:col>
      <xdr:colOff>0</xdr:colOff>
      <xdr:row>207</xdr:row>
      <xdr:rowOff>0</xdr:rowOff>
    </xdr:from>
    <xdr:ext cx="2286000" cy="361950"/>
    <mc:AlternateContent xmlns:mc="http://schemas.openxmlformats.org/markup-compatibility/2006" xmlns:a14="http://schemas.microsoft.com/office/drawing/2010/main">
      <mc:Choice Requires="a14">
        <xdr:sp macro="" textlink="">
          <xdr:nvSpPr>
            <xdr:cNvPr id="6799" name="TextBox 6798">
              <a:extLst>
                <a:ext uri="{FF2B5EF4-FFF2-40B4-BE49-F238E27FC236}">
                  <a16:creationId xmlns:a16="http://schemas.microsoft.com/office/drawing/2014/main" id="{00000000-0008-0000-0500-00008F1A0000}"/>
                </a:ext>
              </a:extLst>
            </xdr:cNvPr>
            <xdr:cNvSpPr txBox="1"/>
          </xdr:nvSpPr>
          <xdr:spPr>
            <a:xfrm>
              <a:off x="95250" y="545306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6799" name="TextBox 6798">
              <a:extLst>
                <a:ext uri="{FF2B5EF4-FFF2-40B4-BE49-F238E27FC236}">
                  <a16:creationId xmlns:a16="http://schemas.microsoft.com/office/drawing/2014/main" id="{A00687AF-4516-49CD-9627-A0F10E209251}"/>
                </a:ext>
              </a:extLst>
            </xdr:cNvPr>
            <xdr:cNvSpPr txBox="1"/>
          </xdr:nvSpPr>
          <xdr:spPr>
            <a:xfrm>
              <a:off x="95250" y="545306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mn-lt"/>
                  <a:ea typeface="+mn-ea"/>
                  <a:cs typeface="+mn-cs"/>
                </a:rPr>
                <a:t>,𝑚𝑒𝑎𝑛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mn-lt"/>
                  <a:ea typeface="+mn-ea"/>
                  <a:cs typeface="+mn-cs"/>
                </a:rPr>
                <a:t>𝐸_(0,𝑚𝑒𝑎𝑛)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1+𝜓_2⋅𝑘_𝑑𝑒𝑓 )</a:t>
              </a:r>
              <a:endParaRPr lang="it-IT" sz="1100"/>
            </a:p>
          </xdr:txBody>
        </xdr:sp>
      </mc:Fallback>
    </mc:AlternateContent>
    <xdr:clientData/>
  </xdr:oneCellAnchor>
  <xdr:oneCellAnchor>
    <xdr:from>
      <xdr:col>1</xdr:col>
      <xdr:colOff>0</xdr:colOff>
      <xdr:row>235</xdr:row>
      <xdr:rowOff>0</xdr:rowOff>
    </xdr:from>
    <xdr:ext cx="2286000" cy="361950"/>
    <mc:AlternateContent xmlns:mc="http://schemas.openxmlformats.org/markup-compatibility/2006" xmlns:a14="http://schemas.microsoft.com/office/drawing/2010/main">
      <mc:Choice Requires="a14">
        <xdr:sp macro="" textlink="">
          <xdr:nvSpPr>
            <xdr:cNvPr id="6800" name="TextBox 6799">
              <a:extLst>
                <a:ext uri="{FF2B5EF4-FFF2-40B4-BE49-F238E27FC236}">
                  <a16:creationId xmlns:a16="http://schemas.microsoft.com/office/drawing/2014/main" id="{00000000-0008-0000-0500-0000901A0000}"/>
                </a:ext>
              </a:extLst>
            </xdr:cNvPr>
            <xdr:cNvSpPr txBox="1"/>
          </xdr:nvSpPr>
          <xdr:spPr>
            <a:xfrm>
              <a:off x="95250" y="552259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𝐾</m:t>
                            </m:r>
                          </m:e>
                          <m:sub>
                            <m:r>
                              <a:rPr lang="it-IT" sz="1100" b="0" i="1">
                                <a:solidFill>
                                  <a:schemeClr val="tx1"/>
                                </a:solidFill>
                                <a:effectLst/>
                                <a:latin typeface="Cambria Math" panose="02040503050406030204" pitchFamily="18" charset="0"/>
                                <a:ea typeface="+mn-ea"/>
                                <a:cs typeface="+mn-cs"/>
                              </a:rPr>
                              <m:t>𝑢</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6800" name="TextBox 6799">
              <a:extLst>
                <a:ext uri="{FF2B5EF4-FFF2-40B4-BE49-F238E27FC236}">
                  <a16:creationId xmlns:a16="http://schemas.microsoft.com/office/drawing/2014/main" id="{6DDF7311-0D0E-4D6C-9A7E-3BB5EB4E7D02}"/>
                </a:ext>
              </a:extLst>
            </xdr:cNvPr>
            <xdr:cNvSpPr txBox="1"/>
          </xdr:nvSpPr>
          <xdr:spPr>
            <a:xfrm>
              <a:off x="95250" y="5522595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𝐾_(𝑢</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𝐾</a:t>
              </a:r>
              <a:r>
                <a:rPr lang="it-IT" sz="1100" b="0" i="0">
                  <a:solidFill>
                    <a:schemeClr val="tx1"/>
                  </a:solidFill>
                  <a:effectLst/>
                  <a:latin typeface="+mn-lt"/>
                  <a:ea typeface="+mn-ea"/>
                  <a:cs typeface="+mn-cs"/>
                </a:rPr>
                <a:t>_</a:t>
              </a:r>
              <a:r>
                <a:rPr lang="it-IT" sz="1100" b="0" i="0">
                  <a:solidFill>
                    <a:schemeClr val="tx1"/>
                  </a:solidFill>
                  <a:effectLst/>
                  <a:latin typeface="Cambria Math" panose="02040503050406030204" pitchFamily="18" charset="0"/>
                  <a:ea typeface="+mn-ea"/>
                  <a:cs typeface="+mn-cs"/>
                </a:rPr>
                <a:t>𝑢/(</a:t>
              </a:r>
              <a:r>
                <a:rPr lang="it-IT" sz="1100" b="0" i="0">
                  <a:latin typeface="Cambria Math" panose="02040503050406030204" pitchFamily="18" charset="0"/>
                </a:rPr>
                <a:t>1+𝜓_2⋅𝑘_𝑑𝑒𝑓 )</a:t>
              </a:r>
              <a:endParaRPr lang="it-IT" sz="1100"/>
            </a:p>
          </xdr:txBody>
        </xdr:sp>
      </mc:Fallback>
    </mc:AlternateContent>
    <xdr:clientData/>
  </xdr:oneCellAnchor>
  <xdr:oneCellAnchor>
    <xdr:from>
      <xdr:col>2</xdr:col>
      <xdr:colOff>0</xdr:colOff>
      <xdr:row>178</xdr:row>
      <xdr:rowOff>0</xdr:rowOff>
    </xdr:from>
    <xdr:ext cx="1147142" cy="323850"/>
    <mc:AlternateContent xmlns:mc="http://schemas.openxmlformats.org/markup-compatibility/2006" xmlns:a14="http://schemas.microsoft.com/office/drawing/2010/main">
      <mc:Choice Requires="a14">
        <xdr:sp macro="" textlink="">
          <xdr:nvSpPr>
            <xdr:cNvPr id="6801" name="TextBox 6800">
              <a:extLst>
                <a:ext uri="{FF2B5EF4-FFF2-40B4-BE49-F238E27FC236}">
                  <a16:creationId xmlns:a16="http://schemas.microsoft.com/office/drawing/2014/main" id="{00000000-0008-0000-0500-0000911A0000}"/>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1" name="TextBox 6800">
              <a:extLst>
                <a:ext uri="{FF2B5EF4-FFF2-40B4-BE49-F238E27FC236}">
                  <a16:creationId xmlns:a16="http://schemas.microsoft.com/office/drawing/2014/main" id="{22C43CF3-3BE8-47B4-A48C-F8CFE9381166}"/>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(𝐸𝐽_0 )_(𝑡=0)=∑𝐸_𝑖 𝐽_𝑖</a:t>
              </a:r>
              <a:endParaRPr lang="it-IT" sz="1100"/>
            </a:p>
          </xdr:txBody>
        </xdr:sp>
      </mc:Fallback>
    </mc:AlternateContent>
    <xdr:clientData/>
  </xdr:oneCellAnchor>
  <xdr:oneCellAnchor>
    <xdr:from>
      <xdr:col>1</xdr:col>
      <xdr:colOff>1138858</xdr:colOff>
      <xdr:row>179</xdr:row>
      <xdr:rowOff>0</xdr:rowOff>
    </xdr:from>
    <xdr:ext cx="1147142" cy="323850"/>
    <mc:AlternateContent xmlns:mc="http://schemas.openxmlformats.org/markup-compatibility/2006" xmlns:a14="http://schemas.microsoft.com/office/drawing/2010/main">
      <mc:Choice Requires="a14">
        <xdr:sp macro="" textlink="">
          <xdr:nvSpPr>
            <xdr:cNvPr id="6802" name="TextBox 6801">
              <a:extLst>
                <a:ext uri="{FF2B5EF4-FFF2-40B4-BE49-F238E27FC236}">
                  <a16:creationId xmlns:a16="http://schemas.microsoft.com/office/drawing/2014/main" id="{00000000-0008-0000-0500-0000921A0000}"/>
                </a:ext>
              </a:extLst>
            </xdr:cNvPr>
            <xdr:cNvSpPr txBox="1"/>
          </xdr:nvSpPr>
          <xdr:spPr>
            <a:xfrm>
              <a:off x="1234108" y="485394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2" name="TextBox 6801">
              <a:extLst>
                <a:ext uri="{FF2B5EF4-FFF2-40B4-BE49-F238E27FC236}">
                  <a16:creationId xmlns:a16="http://schemas.microsoft.com/office/drawing/2014/main" id="{BB13A668-326D-7A01-BE9A-143FAC9DBEC7}"/>
                </a:ext>
              </a:extLst>
            </xdr:cNvPr>
            <xdr:cNvSpPr txBox="1"/>
          </xdr:nvSpPr>
          <xdr:spPr>
            <a:xfrm>
              <a:off x="1234108" y="485394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(𝐸𝐴_0 )_(𝑡=0)=∑𝐸_𝑖 𝐴_𝑖</a:t>
              </a:r>
              <a:endParaRPr lang="it-IT" sz="1100"/>
            </a:p>
          </xdr:txBody>
        </xdr:sp>
      </mc:Fallback>
    </mc:AlternateContent>
    <xdr:clientData/>
  </xdr:oneCellAnchor>
  <xdr:oneCellAnchor>
    <xdr:from>
      <xdr:col>2</xdr:col>
      <xdr:colOff>0</xdr:colOff>
      <xdr:row>214</xdr:row>
      <xdr:rowOff>0</xdr:rowOff>
    </xdr:from>
    <xdr:ext cx="1147142" cy="323850"/>
    <mc:AlternateContent xmlns:mc="http://schemas.openxmlformats.org/markup-compatibility/2006" xmlns:a14="http://schemas.microsoft.com/office/drawing/2010/main">
      <mc:Choice Requires="a14">
        <xdr:sp macro="" textlink="">
          <xdr:nvSpPr>
            <xdr:cNvPr id="6803" name="TextBox 6802">
              <a:extLst>
                <a:ext uri="{FF2B5EF4-FFF2-40B4-BE49-F238E27FC236}">
                  <a16:creationId xmlns:a16="http://schemas.microsoft.com/office/drawing/2014/main" id="{00000000-0008-0000-0500-0000931A0000}"/>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3" name="TextBox 6802">
              <a:extLst>
                <a:ext uri="{FF2B5EF4-FFF2-40B4-BE49-F238E27FC236}">
                  <a16:creationId xmlns:a16="http://schemas.microsoft.com/office/drawing/2014/main" id="{197F0660-6218-4422-BA72-A55F20A29005}"/>
                </a:ext>
              </a:extLst>
            </xdr:cNvPr>
            <xdr:cNvSpPr txBox="1"/>
          </xdr:nvSpPr>
          <xdr:spPr>
            <a:xfrm>
              <a:off x="1238250" y="482155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(𝐸𝐽_0 )_(𝑡=∞)=∑𝐸_𝑖 𝐽_𝑖</a:t>
              </a:r>
              <a:endParaRPr lang="it-IT" sz="1100"/>
            </a:p>
          </xdr:txBody>
        </xdr:sp>
      </mc:Fallback>
    </mc:AlternateContent>
    <xdr:clientData/>
  </xdr:oneCellAnchor>
  <xdr:oneCellAnchor>
    <xdr:from>
      <xdr:col>1</xdr:col>
      <xdr:colOff>1138858</xdr:colOff>
      <xdr:row>215</xdr:row>
      <xdr:rowOff>0</xdr:rowOff>
    </xdr:from>
    <xdr:ext cx="1147142" cy="323850"/>
    <mc:AlternateContent xmlns:mc="http://schemas.openxmlformats.org/markup-compatibility/2006" xmlns:a14="http://schemas.microsoft.com/office/drawing/2010/main">
      <mc:Choice Requires="a14">
        <xdr:sp macro="" textlink="">
          <xdr:nvSpPr>
            <xdr:cNvPr id="6806" name="TextBox 6805">
              <a:extLst>
                <a:ext uri="{FF2B5EF4-FFF2-40B4-BE49-F238E27FC236}">
                  <a16:creationId xmlns:a16="http://schemas.microsoft.com/office/drawing/2014/main" id="{00000000-0008-0000-0500-0000961A0000}"/>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6806" name="TextBox 6805">
              <a:extLst>
                <a:ext uri="{FF2B5EF4-FFF2-40B4-BE49-F238E27FC236}">
                  <a16:creationId xmlns:a16="http://schemas.microsoft.com/office/drawing/2014/main" id="{F825A64F-DE79-4F0C-929E-C2F2CD161BD1}"/>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(𝐸𝐴_0 )_(𝑡=∞)=∑𝐸_𝑖 𝐴_𝑖</a:t>
              </a:r>
              <a:endParaRPr lang="it-IT" sz="1100"/>
            </a:p>
          </xdr:txBody>
        </xdr:sp>
      </mc:Fallback>
    </mc:AlternateContent>
    <xdr:clientData/>
  </xdr:oneCellAnchor>
  <xdr:oneCellAnchor>
    <xdr:from>
      <xdr:col>1</xdr:col>
      <xdr:colOff>0</xdr:colOff>
      <xdr:row>221</xdr:row>
      <xdr:rowOff>0</xdr:rowOff>
    </xdr:from>
    <xdr:ext cx="2286000" cy="476250"/>
    <mc:AlternateContent xmlns:mc="http://schemas.openxmlformats.org/markup-compatibility/2006" xmlns:a14="http://schemas.microsoft.com/office/drawing/2010/main">
      <mc:Choice Requires="a14">
        <xdr:sp macro="" textlink="">
          <xdr:nvSpPr>
            <xdr:cNvPr id="6826" name="TextBox 6825">
              <a:extLst>
                <a:ext uri="{FF2B5EF4-FFF2-40B4-BE49-F238E27FC236}">
                  <a16:creationId xmlns:a16="http://schemas.microsoft.com/office/drawing/2014/main" id="{00000000-0008-0000-0500-0000AA1A0000}"/>
                </a:ext>
              </a:extLst>
            </xdr:cNvPr>
            <xdr:cNvSpPr txBox="1"/>
          </xdr:nvSpPr>
          <xdr:spPr>
            <a:xfrm>
              <a:off x="95250" y="503872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m:rPr>
                                        <m:sty m:val="p"/>
                                      </m:rP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6826" name="TextBox 6825">
              <a:extLst>
                <a:ext uri="{FF2B5EF4-FFF2-40B4-BE49-F238E27FC236}">
                  <a16:creationId xmlns:a16="http://schemas.microsoft.com/office/drawing/2014/main" id="{5A0DA419-5E4B-43A4-99A4-83C5CF520A4C}"/>
                </a:ext>
              </a:extLst>
            </xdr:cNvPr>
            <xdr:cNvSpPr txBox="1"/>
          </xdr:nvSpPr>
          <xdr:spPr>
            <a:xfrm>
              <a:off x="95250" y="503872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1</xdr:col>
      <xdr:colOff>0</xdr:colOff>
      <xdr:row>223</xdr:row>
      <xdr:rowOff>0</xdr:rowOff>
    </xdr:from>
    <xdr:ext cx="2286000" cy="476250"/>
    <mc:AlternateContent xmlns:mc="http://schemas.openxmlformats.org/markup-compatibility/2006" xmlns:a14="http://schemas.microsoft.com/office/drawing/2010/main">
      <mc:Choice Requires="a14">
        <xdr:sp macro="" textlink="">
          <xdr:nvSpPr>
            <xdr:cNvPr id="6827" name="TextBox 6826">
              <a:extLst>
                <a:ext uri="{FF2B5EF4-FFF2-40B4-BE49-F238E27FC236}">
                  <a16:creationId xmlns:a16="http://schemas.microsoft.com/office/drawing/2014/main" id="{00000000-0008-0000-0500-0000AB1A0000}"/>
                </a:ext>
              </a:extLst>
            </xdr:cNvPr>
            <xdr:cNvSpPr txBox="1"/>
          </xdr:nvSpPr>
          <xdr:spPr>
            <a:xfrm>
              <a:off x="95250" y="509587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6827" name="TextBox 6826">
              <a:extLst>
                <a:ext uri="{FF2B5EF4-FFF2-40B4-BE49-F238E27FC236}">
                  <a16:creationId xmlns:a16="http://schemas.microsoft.com/office/drawing/2014/main" id="{1478B8ED-3D35-425E-881E-D55ACDF24DA2}"/>
                </a:ext>
              </a:extLst>
            </xdr:cNvPr>
            <xdr:cNvSpPr txBox="1"/>
          </xdr:nvSpPr>
          <xdr:spPr>
            <a:xfrm>
              <a:off x="95250" y="50958750"/>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1</xdr:col>
      <xdr:colOff>0</xdr:colOff>
      <xdr:row>227</xdr:row>
      <xdr:rowOff>0</xdr:rowOff>
    </xdr:from>
    <xdr:ext cx="2286000" cy="361950"/>
    <mc:AlternateContent xmlns:mc="http://schemas.openxmlformats.org/markup-compatibility/2006" xmlns:a14="http://schemas.microsoft.com/office/drawing/2010/main">
      <mc:Choice Requires="a14">
        <xdr:sp macro="" textlink="">
          <xdr:nvSpPr>
            <xdr:cNvPr id="6828" name="TextBox 6827">
              <a:extLst>
                <a:ext uri="{FF2B5EF4-FFF2-40B4-BE49-F238E27FC236}">
                  <a16:creationId xmlns:a16="http://schemas.microsoft.com/office/drawing/2014/main" id="{00000000-0008-0000-0500-0000AC1A0000}"/>
                </a:ext>
              </a:extLst>
            </xdr:cNvPr>
            <xdr:cNvSpPr txBox="1"/>
          </xdr:nvSpPr>
          <xdr:spPr>
            <a:xfrm>
              <a:off x="95250" y="518064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6828" name="TextBox 6827">
              <a:extLst>
                <a:ext uri="{FF2B5EF4-FFF2-40B4-BE49-F238E27FC236}">
                  <a16:creationId xmlns:a16="http://schemas.microsoft.com/office/drawing/2014/main" id="{34764496-9703-4C6C-AF08-468876B2407B}"/>
                </a:ext>
              </a:extLst>
            </xdr:cNvPr>
            <xdr:cNvSpPr txBox="1"/>
          </xdr:nvSpPr>
          <xdr:spPr>
            <a:xfrm>
              <a:off x="95250" y="518064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(𝐸𝐽)_𝑒𝑓𝑓=𝐸_1 𝐽_1+𝐸_2 𝐽_2+𝐸_2 𝐴_2 𝑎_2^2+𝛾_1 𝐸_1 𝐴_1 𝑎_1^2</a:t>
              </a:r>
              <a:endParaRPr lang="it-IT" sz="1100"/>
            </a:p>
          </xdr:txBody>
        </xdr:sp>
      </mc:Fallback>
    </mc:AlternateContent>
    <xdr:clientData/>
  </xdr:oneCellAnchor>
  <xdr:oneCellAnchor>
    <xdr:from>
      <xdr:col>1</xdr:col>
      <xdr:colOff>0</xdr:colOff>
      <xdr:row>231</xdr:row>
      <xdr:rowOff>0</xdr:rowOff>
    </xdr:from>
    <xdr:ext cx="2286000" cy="381000"/>
    <mc:AlternateContent xmlns:mc="http://schemas.openxmlformats.org/markup-compatibility/2006" xmlns:a14="http://schemas.microsoft.com/office/drawing/2010/main">
      <mc:Choice Requires="a14">
        <xdr:sp macro="" textlink="">
          <xdr:nvSpPr>
            <xdr:cNvPr id="6829" name="TextBox 6828">
              <a:extLst>
                <a:ext uri="{FF2B5EF4-FFF2-40B4-BE49-F238E27FC236}">
                  <a16:creationId xmlns:a16="http://schemas.microsoft.com/office/drawing/2014/main" id="{00000000-0008-0000-0500-0000AD1A0000}"/>
                </a:ext>
              </a:extLst>
            </xdr:cNvPr>
            <xdr:cNvSpPr txBox="1"/>
          </xdr:nvSpPr>
          <xdr:spPr>
            <a:xfrm>
              <a:off x="95250" y="526446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6829" name="TextBox 6828">
              <a:extLst>
                <a:ext uri="{FF2B5EF4-FFF2-40B4-BE49-F238E27FC236}">
                  <a16:creationId xmlns:a16="http://schemas.microsoft.com/office/drawing/2014/main" id="{A2039D70-E7D3-47E6-BD0E-E3C0908D54AB}"/>
                </a:ext>
              </a:extLst>
            </xdr:cNvPr>
            <xdr:cNvSpPr txBox="1"/>
          </xdr:nvSpPr>
          <xdr:spPr>
            <a:xfrm>
              <a:off x="95250" y="52644675"/>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1138858</xdr:colOff>
      <xdr:row>217</xdr:row>
      <xdr:rowOff>0</xdr:rowOff>
    </xdr:from>
    <xdr:ext cx="1147142" cy="647700"/>
    <mc:AlternateContent xmlns:mc="http://schemas.openxmlformats.org/markup-compatibility/2006" xmlns:a14="http://schemas.microsoft.com/office/drawing/2010/main">
      <mc:Choice Requires="a14">
        <xdr:sp macro="" textlink="">
          <xdr:nvSpPr>
            <xdr:cNvPr id="6849" name="TextBox 6848">
              <a:extLst>
                <a:ext uri="{FF2B5EF4-FFF2-40B4-BE49-F238E27FC236}">
                  <a16:creationId xmlns:a16="http://schemas.microsoft.com/office/drawing/2014/main" id="{00000000-0008-0000-0500-0000C11A0000}"/>
                </a:ext>
              </a:extLst>
            </xdr:cNvPr>
            <xdr:cNvSpPr txBox="1"/>
          </xdr:nvSpPr>
          <xdr:spPr>
            <a:xfrm>
              <a:off x="1234108" y="4872037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ℎ</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ℎ</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6849" name="TextBox 6848">
              <a:extLst>
                <a:ext uri="{FF2B5EF4-FFF2-40B4-BE49-F238E27FC236}">
                  <a16:creationId xmlns:a16="http://schemas.microsoft.com/office/drawing/2014/main" id="{31A689DF-4701-487D-B54C-9C995257AC06}"/>
                </a:ext>
              </a:extLst>
            </xdr:cNvPr>
            <xdr:cNvSpPr txBox="1"/>
          </xdr:nvSpPr>
          <xdr:spPr>
            <a:xfrm>
              <a:off x="1234108" y="48720375"/>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220</xdr:row>
      <xdr:rowOff>0</xdr:rowOff>
    </xdr:from>
    <xdr:ext cx="2286000" cy="361950"/>
    <mc:AlternateContent xmlns:mc="http://schemas.openxmlformats.org/markup-compatibility/2006" xmlns:a14="http://schemas.microsoft.com/office/drawing/2010/main">
      <mc:Choice Requires="a14">
        <xdr:sp macro="" textlink="">
          <xdr:nvSpPr>
            <xdr:cNvPr id="6850" name="TextBox 6849">
              <a:extLst>
                <a:ext uri="{FF2B5EF4-FFF2-40B4-BE49-F238E27FC236}">
                  <a16:creationId xmlns:a16="http://schemas.microsoft.com/office/drawing/2014/main" id="{00000000-0008-0000-0500-0000C21A0000}"/>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=0</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6850" name="TextBox 6849">
              <a:extLst>
                <a:ext uri="{FF2B5EF4-FFF2-40B4-BE49-F238E27FC236}">
                  <a16:creationId xmlns:a16="http://schemas.microsoft.com/office/drawing/2014/main" id="{E232EEC6-B2F5-4B09-8989-66BE02D1BAF1}"/>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)_(𝑡=0)=(𝐸𝐽)_(𝑡=0)+</a:t>
              </a:r>
              <a:r>
                <a:rPr lang="it-IT" sz="1100" b="0" i="0">
                  <a:solidFill>
                    <a:schemeClr val="tx1"/>
                  </a:solidFill>
                  <a:effectLst/>
                  <a:latin typeface="Cambria Math" panose="02040503050406030204" pitchFamily="18" charset="0"/>
                  <a:ea typeface="+mn-ea"/>
                  <a:cs typeface="+mn-cs"/>
                </a:rPr>
                <a:t>(𝐸𝐴)_(𝑡=0)⋅𝑎^2</a:t>
              </a:r>
              <a:endParaRPr lang="it-IT" sz="1100"/>
            </a:p>
          </xdr:txBody>
        </xdr:sp>
      </mc:Fallback>
    </mc:AlternateContent>
    <xdr:clientData/>
  </xdr:oneCellAnchor>
  <xdr:oneCellAnchor>
    <xdr:from>
      <xdr:col>1</xdr:col>
      <xdr:colOff>0</xdr:colOff>
      <xdr:row>243</xdr:row>
      <xdr:rowOff>0</xdr:rowOff>
    </xdr:from>
    <xdr:ext cx="2286000" cy="361950"/>
    <mc:AlternateContent xmlns:mc="http://schemas.openxmlformats.org/markup-compatibility/2006" xmlns:a14="http://schemas.microsoft.com/office/drawing/2010/main">
      <mc:Choice Requires="a14">
        <xdr:sp macro="" textlink="">
          <xdr:nvSpPr>
            <xdr:cNvPr id="7017" name="TextBox 7016">
              <a:extLst>
                <a:ext uri="{FF2B5EF4-FFF2-40B4-BE49-F238E27FC236}">
                  <a16:creationId xmlns:a16="http://schemas.microsoft.com/office/drawing/2014/main" id="{00000000-0008-0000-0500-0000691B0000}"/>
                </a:ext>
              </a:extLst>
            </xdr:cNvPr>
            <xdr:cNvSpPr txBox="1"/>
          </xdr:nvSpPr>
          <xdr:spPr>
            <a:xfrm>
              <a:off x="95250" y="54292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017" name="TextBox 7016">
              <a:extLst>
                <a:ext uri="{FF2B5EF4-FFF2-40B4-BE49-F238E27FC236}">
                  <a16:creationId xmlns:a16="http://schemas.microsoft.com/office/drawing/2014/main" id="{218E7860-65A2-46AB-B0AD-544F36CBAEFF}"/>
                </a:ext>
              </a:extLst>
            </xdr:cNvPr>
            <xdr:cNvSpPr txBox="1"/>
          </xdr:nvSpPr>
          <xdr:spPr>
            <a:xfrm>
              <a:off x="95250" y="54292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mn-lt"/>
                  <a:ea typeface="+mn-ea"/>
                  <a:cs typeface="+mn-cs"/>
                </a:rPr>
                <a:t>,𝑚𝑒𝑎𝑛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mn-lt"/>
                  <a:ea typeface="+mn-ea"/>
                  <a:cs typeface="+mn-cs"/>
                </a:rPr>
                <a:t>𝐸_(0,𝑚𝑒𝑎𝑛)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1+𝜓_2⋅𝑘_𝑑𝑒𝑓 )</a:t>
              </a:r>
              <a:endParaRPr lang="it-IT" sz="1100"/>
            </a:p>
          </xdr:txBody>
        </xdr:sp>
      </mc:Fallback>
    </mc:AlternateContent>
    <xdr:clientData/>
  </xdr:oneCellAnchor>
  <xdr:oneCellAnchor>
    <xdr:from>
      <xdr:col>7</xdr:col>
      <xdr:colOff>0</xdr:colOff>
      <xdr:row>243</xdr:row>
      <xdr:rowOff>0</xdr:rowOff>
    </xdr:from>
    <xdr:ext cx="2286000" cy="361950"/>
    <mc:AlternateContent xmlns:mc="http://schemas.openxmlformats.org/markup-compatibility/2006" xmlns:a14="http://schemas.microsoft.com/office/drawing/2010/main">
      <mc:Choice Requires="a14">
        <xdr:sp macro="" textlink="">
          <xdr:nvSpPr>
            <xdr:cNvPr id="7018" name="TextBox 7017">
              <a:extLst>
                <a:ext uri="{FF2B5EF4-FFF2-40B4-BE49-F238E27FC236}">
                  <a16:creationId xmlns:a16="http://schemas.microsoft.com/office/drawing/2014/main" id="{00000000-0008-0000-0500-00006A1B0000}"/>
                </a:ext>
              </a:extLst>
            </xdr:cNvPr>
            <xdr:cNvSpPr txBox="1"/>
          </xdr:nvSpPr>
          <xdr:spPr>
            <a:xfrm>
              <a:off x="3810000" y="54292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0</m:t>
                        </m:r>
                        <m:r>
                          <a:rPr lang="it-IT" sz="1100" b="0" i="1">
                            <a:solidFill>
                              <a:schemeClr val="tx1"/>
                            </a:solidFill>
                            <a:effectLst/>
                            <a:latin typeface="Cambria Math" panose="02040503050406030204" pitchFamily="18" charset="0"/>
                            <a:ea typeface="+mn-ea"/>
                            <a:cs typeface="+mn-cs"/>
                          </a:rPr>
                          <m:t>,</m:t>
                        </m:r>
                        <m:r>
                          <a:rPr lang="it-IT" sz="1100" b="0" i="1">
                            <a:solidFill>
                              <a:schemeClr val="tx1"/>
                            </a:solidFill>
                            <a:effectLst/>
                            <a:latin typeface="Cambria Math" panose="02040503050406030204" pitchFamily="18" charset="0"/>
                            <a:ea typeface="+mn-ea"/>
                            <a:cs typeface="+mn-cs"/>
                          </a:rPr>
                          <m:t>𝑚𝑒𝑎𝑛</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0,</m:t>
                            </m:r>
                            <m:r>
                              <a:rPr lang="it-IT" sz="1100" b="0" i="1">
                                <a:solidFill>
                                  <a:schemeClr val="tx1"/>
                                </a:solidFill>
                                <a:effectLst/>
                                <a:latin typeface="Cambria Math" panose="02040503050406030204" pitchFamily="18" charset="0"/>
                                <a:ea typeface="+mn-ea"/>
                                <a:cs typeface="+mn-cs"/>
                              </a:rPr>
                              <m:t>𝑚𝑒𝑎𝑛</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018" name="TextBox 7017">
              <a:extLst>
                <a:ext uri="{FF2B5EF4-FFF2-40B4-BE49-F238E27FC236}">
                  <a16:creationId xmlns:a16="http://schemas.microsoft.com/office/drawing/2014/main" id="{11E8B4B7-525D-49A7-8D30-4A956CB64370}"/>
                </a:ext>
              </a:extLst>
            </xdr:cNvPr>
            <xdr:cNvSpPr txBox="1"/>
          </xdr:nvSpPr>
          <xdr:spPr>
            <a:xfrm>
              <a:off x="3810000" y="542925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𝐸_(0</a:t>
              </a:r>
              <a:r>
                <a:rPr lang="it-IT" sz="1100" b="0" i="0">
                  <a:solidFill>
                    <a:schemeClr val="tx1"/>
                  </a:solidFill>
                  <a:effectLst/>
                  <a:latin typeface="+mn-lt"/>
                  <a:ea typeface="+mn-ea"/>
                  <a:cs typeface="+mn-cs"/>
                </a:rPr>
                <a:t>,𝑚𝑒𝑎𝑛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mn-lt"/>
                  <a:ea typeface="+mn-ea"/>
                  <a:cs typeface="+mn-cs"/>
                </a:rPr>
                <a:t>𝐸_(0,𝑚𝑒𝑎𝑛)</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1+𝜓_2⋅𝑘_𝑑𝑒𝑓 )</a:t>
              </a:r>
              <a:endParaRPr lang="it-IT" sz="1100"/>
            </a:p>
          </xdr:txBody>
        </xdr:sp>
      </mc:Fallback>
    </mc:AlternateContent>
    <xdr:clientData/>
  </xdr:oneCellAnchor>
  <xdr:oneCellAnchor>
    <xdr:from>
      <xdr:col>1</xdr:col>
      <xdr:colOff>0</xdr:colOff>
      <xdr:row>271</xdr:row>
      <xdr:rowOff>0</xdr:rowOff>
    </xdr:from>
    <xdr:ext cx="2286000" cy="361950"/>
    <mc:AlternateContent xmlns:mc="http://schemas.openxmlformats.org/markup-compatibility/2006" xmlns:a14="http://schemas.microsoft.com/office/drawing/2010/main">
      <mc:Choice Requires="a14">
        <xdr:sp macro="" textlink="">
          <xdr:nvSpPr>
            <xdr:cNvPr id="7019" name="TextBox 7018">
              <a:extLst>
                <a:ext uri="{FF2B5EF4-FFF2-40B4-BE49-F238E27FC236}">
                  <a16:creationId xmlns:a16="http://schemas.microsoft.com/office/drawing/2014/main" id="{00000000-0008-0000-0500-00006B1B0000}"/>
                </a:ext>
              </a:extLst>
            </xdr:cNvPr>
            <xdr:cNvSpPr txBox="1"/>
          </xdr:nvSpPr>
          <xdr:spPr>
            <a:xfrm>
              <a:off x="95250" y="604932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r>
                          <a:rPr lang="it-IT" sz="1100" b="0" i="1">
                            <a:solidFill>
                              <a:schemeClr val="tx1"/>
                            </a:solidFill>
                            <a:effectLst/>
                            <a:latin typeface="Cambria Math" panose="02040503050406030204" pitchFamily="18" charset="0"/>
                            <a:ea typeface="+mn-ea"/>
                            <a:cs typeface="+mn-cs"/>
                          </a:rPr>
                          <m:t>,∞</m:t>
                        </m:r>
                      </m:sub>
                    </m:sSub>
                    <m:r>
                      <a:rPr lang="it-IT" sz="1100" b="0" i="1">
                        <a:latin typeface="Cambria Math" panose="02040503050406030204" pitchFamily="18" charset="0"/>
                      </a:rPr>
                      <m:t>=</m:t>
                    </m:r>
                    <m:f>
                      <m:fPr>
                        <m:ctrlPr>
                          <a:rPr lang="it-IT" sz="1100" b="0" i="1">
                            <a:solidFill>
                              <a:schemeClr val="tx1"/>
                            </a:solidFill>
                            <a:effectLst/>
                            <a:latin typeface="Cambria Math" panose="02040503050406030204" pitchFamily="18" charset="0"/>
                            <a:ea typeface="+mn-ea"/>
                            <a:cs typeface="+mn-cs"/>
                          </a:rPr>
                        </m:ctrlPr>
                      </m:fPr>
                      <m:num>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𝐾</m:t>
                            </m:r>
                          </m:e>
                          <m:sub>
                            <m:r>
                              <a:rPr lang="it-IT" sz="1100" b="0" i="1">
                                <a:solidFill>
                                  <a:schemeClr val="tx1"/>
                                </a:solidFill>
                                <a:effectLst/>
                                <a:latin typeface="Cambria Math" panose="02040503050406030204" pitchFamily="18" charset="0"/>
                                <a:ea typeface="+mn-ea"/>
                                <a:cs typeface="+mn-cs"/>
                              </a:rPr>
                              <m:t>𝑢</m:t>
                            </m:r>
                          </m:sub>
                        </m:sSub>
                      </m:num>
                      <m:den>
                        <m:r>
                          <a:rPr lang="it-IT" sz="1100" b="0" i="1">
                            <a:latin typeface="Cambria Math" panose="02040503050406030204" pitchFamily="18" charset="0"/>
                          </a:rPr>
                          <m:t>1+</m:t>
                        </m:r>
                        <m:sSub>
                          <m:sSubPr>
                            <m:ctrlPr>
                              <a:rPr lang="it-IT" sz="1100" b="0" i="1">
                                <a:latin typeface="Cambria Math" panose="02040503050406030204" pitchFamily="18" charset="0"/>
                              </a:rPr>
                            </m:ctrlPr>
                          </m:sSubPr>
                          <m:e>
                            <m:r>
                              <a:rPr lang="it-IT" sz="1100" b="0" i="1">
                                <a:latin typeface="Cambria Math" panose="02040503050406030204" pitchFamily="18" charset="0"/>
                              </a:rPr>
                              <m:t>𝜓</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𝑘</m:t>
                            </m:r>
                          </m:e>
                          <m:sub>
                            <m:r>
                              <a:rPr lang="it-IT" sz="1100" b="0" i="1">
                                <a:latin typeface="Cambria Math" panose="02040503050406030204" pitchFamily="18" charset="0"/>
                              </a:rPr>
                              <m:t>𝑑𝑒𝑓</m:t>
                            </m:r>
                          </m:sub>
                        </m:sSub>
                      </m:den>
                    </m:f>
                  </m:oMath>
                </m:oMathPara>
              </a14:m>
              <a:endParaRPr lang="it-IT" sz="1100"/>
            </a:p>
          </xdr:txBody>
        </xdr:sp>
      </mc:Choice>
      <mc:Fallback xmlns="">
        <xdr:sp macro="" textlink="">
          <xdr:nvSpPr>
            <xdr:cNvPr id="7019" name="TextBox 7018">
              <a:extLst>
                <a:ext uri="{FF2B5EF4-FFF2-40B4-BE49-F238E27FC236}">
                  <a16:creationId xmlns:a16="http://schemas.microsoft.com/office/drawing/2014/main" id="{91CC088A-49EE-4E10-9704-8C629A55D58D}"/>
                </a:ext>
              </a:extLst>
            </xdr:cNvPr>
            <xdr:cNvSpPr txBox="1"/>
          </xdr:nvSpPr>
          <xdr:spPr>
            <a:xfrm>
              <a:off x="95250" y="6049327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𝐾_(𝑢</a:t>
              </a:r>
              <a:r>
                <a:rPr lang="it-IT" sz="1100" b="0" i="0">
                  <a:solidFill>
                    <a:schemeClr val="tx1"/>
                  </a:solidFill>
                  <a:effectLst/>
                  <a:latin typeface="Cambria Math" panose="02040503050406030204" pitchFamily="18" charset="0"/>
                  <a:ea typeface="+mn-ea"/>
                  <a:cs typeface="+mn-cs"/>
                </a:rPr>
                <a:t>,∞)</a:t>
              </a:r>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𝐾</a:t>
              </a:r>
              <a:r>
                <a:rPr lang="it-IT" sz="1100" b="0" i="0">
                  <a:solidFill>
                    <a:schemeClr val="tx1"/>
                  </a:solidFill>
                  <a:effectLst/>
                  <a:latin typeface="+mn-lt"/>
                  <a:ea typeface="+mn-ea"/>
                  <a:cs typeface="+mn-cs"/>
                </a:rPr>
                <a:t>_</a:t>
              </a:r>
              <a:r>
                <a:rPr lang="it-IT" sz="1100" b="0" i="0">
                  <a:solidFill>
                    <a:schemeClr val="tx1"/>
                  </a:solidFill>
                  <a:effectLst/>
                  <a:latin typeface="Cambria Math" panose="02040503050406030204" pitchFamily="18" charset="0"/>
                  <a:ea typeface="+mn-ea"/>
                  <a:cs typeface="+mn-cs"/>
                </a:rPr>
                <a:t>𝑢/(</a:t>
              </a:r>
              <a:r>
                <a:rPr lang="it-IT" sz="1100" b="0" i="0">
                  <a:latin typeface="Cambria Math" panose="02040503050406030204" pitchFamily="18" charset="0"/>
                </a:rPr>
                <a:t>1+𝜓_2⋅𝑘_𝑑𝑒𝑓 )</a:t>
              </a:r>
              <a:endParaRPr lang="it-IT" sz="1100"/>
            </a:p>
          </xdr:txBody>
        </xdr:sp>
      </mc:Fallback>
    </mc:AlternateContent>
    <xdr:clientData/>
  </xdr:oneCellAnchor>
  <xdr:oneCellAnchor>
    <xdr:from>
      <xdr:col>2</xdr:col>
      <xdr:colOff>0</xdr:colOff>
      <xdr:row>250</xdr:row>
      <xdr:rowOff>0</xdr:rowOff>
    </xdr:from>
    <xdr:ext cx="1147142" cy="323850"/>
    <mc:AlternateContent xmlns:mc="http://schemas.openxmlformats.org/markup-compatibility/2006" xmlns:a14="http://schemas.microsoft.com/office/drawing/2010/main">
      <mc:Choice Requires="a14">
        <xdr:sp macro="" textlink="">
          <xdr:nvSpPr>
            <xdr:cNvPr id="7020" name="TextBox 7019">
              <a:extLst>
                <a:ext uri="{FF2B5EF4-FFF2-40B4-BE49-F238E27FC236}">
                  <a16:creationId xmlns:a16="http://schemas.microsoft.com/office/drawing/2014/main" id="{00000000-0008-0000-0500-00006C1B0000}"/>
                </a:ext>
              </a:extLst>
            </xdr:cNvPr>
            <xdr:cNvSpPr txBox="1"/>
          </xdr:nvSpPr>
          <xdr:spPr>
            <a:xfrm>
              <a:off x="1238250" y="554926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020" name="TextBox 7019">
              <a:extLst>
                <a:ext uri="{FF2B5EF4-FFF2-40B4-BE49-F238E27FC236}">
                  <a16:creationId xmlns:a16="http://schemas.microsoft.com/office/drawing/2014/main" id="{DC3615BF-059D-471A-9DFE-7C0BEA058A87}"/>
                </a:ext>
              </a:extLst>
            </xdr:cNvPr>
            <xdr:cNvSpPr txBox="1"/>
          </xdr:nvSpPr>
          <xdr:spPr>
            <a:xfrm>
              <a:off x="1238250" y="5549265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(𝐸𝐽_0 )_(𝑡=∞)=∑𝐸_𝑖 𝐽_𝑖</a:t>
              </a:r>
              <a:endParaRPr lang="it-IT" sz="1100"/>
            </a:p>
          </xdr:txBody>
        </xdr:sp>
      </mc:Fallback>
    </mc:AlternateContent>
    <xdr:clientData/>
  </xdr:oneCellAnchor>
  <xdr:oneCellAnchor>
    <xdr:from>
      <xdr:col>1</xdr:col>
      <xdr:colOff>1138858</xdr:colOff>
      <xdr:row>251</xdr:row>
      <xdr:rowOff>0</xdr:rowOff>
    </xdr:from>
    <xdr:ext cx="1147142" cy="323850"/>
    <mc:AlternateContent xmlns:mc="http://schemas.openxmlformats.org/markup-compatibility/2006" xmlns:a14="http://schemas.microsoft.com/office/drawing/2010/main">
      <mc:Choice Requires="a14">
        <xdr:sp macro="" textlink="">
          <xdr:nvSpPr>
            <xdr:cNvPr id="7021" name="TextBox 7020">
              <a:extLst>
                <a:ext uri="{FF2B5EF4-FFF2-40B4-BE49-F238E27FC236}">
                  <a16:creationId xmlns:a16="http://schemas.microsoft.com/office/drawing/2014/main" id="{00000000-0008-0000-0500-00006D1B0000}"/>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0</m:t>
                                </m:r>
                              </m:sub>
                            </m:sSub>
                          </m:e>
                        </m:d>
                      </m:e>
                      <m:sub>
                        <m:r>
                          <a:rPr lang="it-IT" sz="1100" b="0" i="1">
                            <a:latin typeface="Cambria Math" panose="02040503050406030204" pitchFamily="18" charset="0"/>
                          </a:rPr>
                          <m:t>𝑡</m:t>
                        </m:r>
                        <m:r>
                          <a:rPr lang="it-IT" sz="1100" b="0" i="1">
                            <a:latin typeface="Cambria Math" panose="02040503050406030204" pitchFamily="18" charset="0"/>
                          </a:rPr>
                          <m:t>=∞</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𝑖</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𝑖</m:t>
                        </m:r>
                      </m:sub>
                    </m:sSub>
                  </m:oMath>
                </m:oMathPara>
              </a14:m>
              <a:endParaRPr lang="it-IT" sz="1100"/>
            </a:p>
          </xdr:txBody>
        </xdr:sp>
      </mc:Choice>
      <mc:Fallback xmlns="">
        <xdr:sp macro="" textlink="">
          <xdr:nvSpPr>
            <xdr:cNvPr id="7021" name="TextBox 7020">
              <a:extLst>
                <a:ext uri="{FF2B5EF4-FFF2-40B4-BE49-F238E27FC236}">
                  <a16:creationId xmlns:a16="http://schemas.microsoft.com/office/drawing/2014/main" id="{A619CC6A-6448-4974-89D6-2E12189A48BA}"/>
                </a:ext>
              </a:extLst>
            </xdr:cNvPr>
            <xdr:cNvSpPr txBox="1"/>
          </xdr:nvSpPr>
          <xdr:spPr>
            <a:xfrm>
              <a:off x="1234108" y="55816500"/>
              <a:ext cx="1147142"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(𝐸𝐴_0 )_(𝑡=∞)=∑𝐸_𝑖 𝐴_𝑖</a:t>
              </a:r>
              <a:endParaRPr lang="it-IT" sz="1100"/>
            </a:p>
          </xdr:txBody>
        </xdr:sp>
      </mc:Fallback>
    </mc:AlternateContent>
    <xdr:clientData/>
  </xdr:oneCellAnchor>
  <xdr:oneCellAnchor>
    <xdr:from>
      <xdr:col>1</xdr:col>
      <xdr:colOff>0</xdr:colOff>
      <xdr:row>257</xdr:row>
      <xdr:rowOff>0</xdr:rowOff>
    </xdr:from>
    <xdr:ext cx="2286000" cy="476250"/>
    <mc:AlternateContent xmlns:mc="http://schemas.openxmlformats.org/markup-compatibility/2006" xmlns:a14="http://schemas.microsoft.com/office/drawing/2010/main">
      <mc:Choice Requires="a14">
        <xdr:sp macro="" textlink="">
          <xdr:nvSpPr>
            <xdr:cNvPr id="7022" name="TextBox 7021">
              <a:extLst>
                <a:ext uri="{FF2B5EF4-FFF2-40B4-BE49-F238E27FC236}">
                  <a16:creationId xmlns:a16="http://schemas.microsoft.com/office/drawing/2014/main" id="{00000000-0008-0000-0500-00006E1B0000}"/>
                </a:ext>
              </a:extLst>
            </xdr:cNvPr>
            <xdr:cNvSpPr txBox="1"/>
          </xdr:nvSpPr>
          <xdr:spPr>
            <a:xfrm>
              <a:off x="95250" y="57521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r>
                      <a:rPr lang="it-IT" sz="1100" b="0" i="1">
                        <a:latin typeface="Cambria Math" panose="02040503050406030204" pitchFamily="18" charset="0"/>
                      </a:rPr>
                      <m:t>𝛾</m:t>
                    </m:r>
                    <m:r>
                      <a:rPr lang="it-IT" sz="1100" b="0" i="1">
                        <a:latin typeface="Cambria Math" panose="02040503050406030204" pitchFamily="18" charset="0"/>
                      </a:rPr>
                      <m:t>=</m:t>
                    </m:r>
                    <m:sSup>
                      <m:sSupPr>
                        <m:ctrlPr>
                          <a:rPr lang="it-IT" sz="1100" b="0" i="1">
                            <a:latin typeface="Cambria Math" panose="02040503050406030204" pitchFamily="18" charset="0"/>
                          </a:rPr>
                        </m:ctrlPr>
                      </m:sSupPr>
                      <m:e>
                        <m:d>
                          <m:dPr>
                            <m:ctrlPr>
                              <a:rPr lang="it-IT" sz="1100" b="0" i="1">
                                <a:latin typeface="Cambria Math" panose="02040503050406030204" pitchFamily="18" charset="0"/>
                              </a:rPr>
                            </m:ctrlPr>
                          </m:dPr>
                          <m:e>
                            <m:r>
                              <a:rPr lang="it-IT" sz="1100" b="0" i="1">
                                <a:latin typeface="Cambria Math" panose="02040503050406030204" pitchFamily="18" charset="0"/>
                              </a:rPr>
                              <m:t>1+</m:t>
                            </m:r>
                            <m:f>
                              <m:fPr>
                                <m:ctrlPr>
                                  <a:rPr lang="it-IT" sz="1100" b="0" i="1">
                                    <a:latin typeface="Cambria Math" panose="02040503050406030204" pitchFamily="18" charset="0"/>
                                  </a:rPr>
                                </m:ctrlPr>
                              </m:fPr>
                              <m:num>
                                <m:sSup>
                                  <m:sSupPr>
                                    <m:ctrlPr>
                                      <a:rPr lang="it-IT" sz="1100" b="0" i="1">
                                        <a:latin typeface="Cambria Math" panose="02040503050406030204" pitchFamily="18" charset="0"/>
                                      </a:rPr>
                                    </m:ctrlPr>
                                  </m:sSupPr>
                                  <m:e>
                                    <m:r>
                                      <a:rPr lang="it-IT" sz="1100" b="0" i="1">
                                        <a:latin typeface="Cambria Math" panose="02040503050406030204" pitchFamily="18" charset="0"/>
                                      </a:rPr>
                                      <m:t>𝜋</m:t>
                                    </m:r>
                                  </m:e>
                                  <m:sup>
                                    <m:r>
                                      <a:rPr lang="it-IT" sz="1100" b="0" i="1">
                                        <a:latin typeface="Cambria Math" panose="02040503050406030204" pitchFamily="18" charset="0"/>
                                      </a:rPr>
                                      <m:t>2</m:t>
                                    </m:r>
                                  </m:sup>
                                </m:sSup>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𝑠</m:t>
                                    </m:r>
                                  </m:e>
                                  <m:sub>
                                    <m:r>
                                      <a:rPr lang="it-IT" sz="1100" b="0" i="1">
                                        <a:latin typeface="Cambria Math" panose="02040503050406030204" pitchFamily="18" charset="0"/>
                                      </a:rPr>
                                      <m:t>𝑒𝑞</m:t>
                                    </m:r>
                                  </m:sub>
                                </m:sSub>
                              </m:num>
                              <m:den>
                                <m:sSub>
                                  <m:sSubPr>
                                    <m:ctrlPr>
                                      <a:rPr lang="it-IT" sz="1100" b="0" i="1">
                                        <a:latin typeface="Cambria Math" panose="02040503050406030204" pitchFamily="18" charset="0"/>
                                      </a:rPr>
                                    </m:ctrlPr>
                                  </m:sSubPr>
                                  <m:e>
                                    <m:r>
                                      <a:rPr lang="it-IT" sz="1100" b="0" i="1">
                                        <a:latin typeface="Cambria Math" panose="02040503050406030204" pitchFamily="18" charset="0"/>
                                      </a:rPr>
                                      <m:t>𝐾</m:t>
                                    </m:r>
                                  </m:e>
                                  <m:sub>
                                    <m:r>
                                      <a:rPr lang="it-IT" sz="1100" b="0" i="1">
                                        <a:latin typeface="Cambria Math" panose="02040503050406030204" pitchFamily="18" charset="0"/>
                                      </a:rPr>
                                      <m:t>𝑢</m:t>
                                    </m:r>
                                  </m:sub>
                                </m:sSub>
                                <m:sSup>
                                  <m:sSupPr>
                                    <m:ctrlPr>
                                      <a:rPr lang="it-IT" sz="1100" b="0" i="1">
                                        <a:latin typeface="Cambria Math" panose="02040503050406030204" pitchFamily="18" charset="0"/>
                                      </a:rPr>
                                    </m:ctrlPr>
                                  </m:sSupPr>
                                  <m:e>
                                    <m:r>
                                      <m:rPr>
                                        <m:sty m:val="p"/>
                                      </m:rPr>
                                      <a:rPr lang="it-IT" sz="1100" b="0" i="1">
                                        <a:latin typeface="Cambria Math" panose="02040503050406030204" pitchFamily="18" charset="0"/>
                                      </a:rPr>
                                      <m:t>ℓ</m:t>
                                    </m:r>
                                  </m:e>
                                  <m:sup>
                                    <m:r>
                                      <a:rPr lang="it-IT" sz="1100" b="0" i="1">
                                        <a:latin typeface="Cambria Math" panose="02040503050406030204" pitchFamily="18" charset="0"/>
                                      </a:rPr>
                                      <m:t>2</m:t>
                                    </m:r>
                                  </m:sup>
                                </m:sSup>
                              </m:den>
                            </m:f>
                          </m:e>
                        </m:d>
                      </m:e>
                      <m:sup>
                        <m:r>
                          <a:rPr lang="it-IT" sz="1100" b="0" i="1">
                            <a:latin typeface="Cambria Math" panose="02040503050406030204" pitchFamily="18" charset="0"/>
                          </a:rPr>
                          <m:t>−1</m:t>
                        </m:r>
                      </m:sup>
                    </m:sSup>
                  </m:oMath>
                </m:oMathPara>
              </a14:m>
              <a:endParaRPr lang="it-IT" sz="1100"/>
            </a:p>
          </xdr:txBody>
        </xdr:sp>
      </mc:Choice>
      <mc:Fallback xmlns="">
        <xdr:sp macro="" textlink="">
          <xdr:nvSpPr>
            <xdr:cNvPr id="7022" name="TextBox 7021">
              <a:extLst>
                <a:ext uri="{FF2B5EF4-FFF2-40B4-BE49-F238E27FC236}">
                  <a16:creationId xmlns:a16="http://schemas.microsoft.com/office/drawing/2014/main" id="{2BEB6AEC-5F78-428C-9EF2-5DA22DCD494C}"/>
                </a:ext>
              </a:extLst>
            </xdr:cNvPr>
            <xdr:cNvSpPr txBox="1"/>
          </xdr:nvSpPr>
          <xdr:spPr>
            <a:xfrm>
              <a:off x="95250" y="575214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𝛾=(1+(𝜋^2 𝐸_1 𝐴_1 𝑠_𝑒𝑞)/(𝐾_𝑢 ℓ^2 ))^(−1)</a:t>
              </a:r>
              <a:endParaRPr lang="it-IT" sz="1100"/>
            </a:p>
          </xdr:txBody>
        </xdr:sp>
      </mc:Fallback>
    </mc:AlternateContent>
    <xdr:clientData/>
  </xdr:oneCellAnchor>
  <xdr:oneCellAnchor>
    <xdr:from>
      <xdr:col>1</xdr:col>
      <xdr:colOff>0</xdr:colOff>
      <xdr:row>259</xdr:row>
      <xdr:rowOff>0</xdr:rowOff>
    </xdr:from>
    <xdr:ext cx="2286000" cy="476250"/>
    <mc:AlternateContent xmlns:mc="http://schemas.openxmlformats.org/markup-compatibility/2006" xmlns:a14="http://schemas.microsoft.com/office/drawing/2010/main">
      <mc:Choice Requires="a14">
        <xdr:sp macro="" textlink="">
          <xdr:nvSpPr>
            <xdr:cNvPr id="7023" name="TextBox 7022">
              <a:extLst>
                <a:ext uri="{FF2B5EF4-FFF2-40B4-BE49-F238E27FC236}">
                  <a16:creationId xmlns:a16="http://schemas.microsoft.com/office/drawing/2014/main" id="{00000000-0008-0000-0500-00006F1B0000}"/>
                </a:ext>
              </a:extLst>
            </xdr:cNvPr>
            <xdr:cNvSpPr txBox="1"/>
          </xdr:nvSpPr>
          <xdr:spPr>
            <a:xfrm>
              <a:off x="95250" y="580929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𝑎</m:t>
                        </m:r>
                      </m:e>
                      <m:sub>
                        <m:r>
                          <a:rPr lang="it-IT" sz="1100" b="0" i="1">
                            <a:latin typeface="Cambria Math" panose="02040503050406030204" pitchFamily="18" charset="0"/>
                          </a:rPr>
                          <m:t>2</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𝑎</m:t>
                        </m:r>
                      </m:num>
                      <m:den>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𝛾</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1</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1</m:t>
                            </m:r>
                          </m:sub>
                        </m:sSub>
                        <m:r>
                          <a:rPr lang="it-IT" sz="1100" b="0" i="1">
                            <a:solidFill>
                              <a:schemeClr val="tx1"/>
                            </a:solidFill>
                            <a:effectLst/>
                            <a:latin typeface="Cambria Math" panose="02040503050406030204" pitchFamily="18" charset="0"/>
                            <a:ea typeface="+mn-ea"/>
                            <a:cs typeface="+mn-cs"/>
                          </a:rPr>
                          <m:t>+</m:t>
                        </m:r>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𝐸</m:t>
                            </m:r>
                          </m:e>
                          <m:sub>
                            <m:r>
                              <a:rPr lang="it-IT" sz="1100" b="0" i="1">
                                <a:solidFill>
                                  <a:schemeClr val="tx1"/>
                                </a:solidFill>
                                <a:effectLst/>
                                <a:latin typeface="Cambria Math" panose="02040503050406030204" pitchFamily="18" charset="0"/>
                                <a:ea typeface="+mn-ea"/>
                                <a:cs typeface="+mn-cs"/>
                              </a:rPr>
                              <m:t>2</m:t>
                            </m:r>
                          </m:sub>
                        </m:sSub>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𝐴</m:t>
                            </m:r>
                          </m:e>
                          <m:sub>
                            <m:r>
                              <a:rPr lang="it-IT" sz="1100" b="0" i="1">
                                <a:solidFill>
                                  <a:schemeClr val="tx1"/>
                                </a:solidFill>
                                <a:effectLst/>
                                <a:latin typeface="Cambria Math" panose="02040503050406030204" pitchFamily="18" charset="0"/>
                                <a:ea typeface="+mn-ea"/>
                                <a:cs typeface="+mn-cs"/>
                              </a:rPr>
                              <m:t>2</m:t>
                            </m:r>
                          </m:sub>
                        </m:sSub>
                      </m:den>
                    </m:f>
                  </m:oMath>
                </m:oMathPara>
              </a14:m>
              <a:endParaRPr lang="it-IT" sz="1100"/>
            </a:p>
          </xdr:txBody>
        </xdr:sp>
      </mc:Choice>
      <mc:Fallback xmlns="">
        <xdr:sp macro="" textlink="">
          <xdr:nvSpPr>
            <xdr:cNvPr id="7023" name="TextBox 7022">
              <a:extLst>
                <a:ext uri="{FF2B5EF4-FFF2-40B4-BE49-F238E27FC236}">
                  <a16:creationId xmlns:a16="http://schemas.microsoft.com/office/drawing/2014/main" id="{C5459023-DAB8-4FFC-9616-1C52C99B433A}"/>
                </a:ext>
              </a:extLst>
            </xdr:cNvPr>
            <xdr:cNvSpPr txBox="1"/>
          </xdr:nvSpPr>
          <xdr:spPr>
            <a:xfrm>
              <a:off x="95250" y="58092975"/>
              <a:ext cx="22860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𝑎_2=(𝛾_1 𝐸_1</a:t>
              </a:r>
              <a:r>
                <a:rPr lang="it-IT" sz="1100" b="0" i="0">
                  <a:solidFill>
                    <a:schemeClr val="tx1"/>
                  </a:solidFill>
                  <a:effectLst/>
                  <a:latin typeface="Cambria Math" panose="02040503050406030204" pitchFamily="18" charset="0"/>
                  <a:ea typeface="+mn-ea"/>
                  <a:cs typeface="+mn-cs"/>
                </a:rPr>
                <a:t> 𝐴_1 𝑎)/(𝛾_1 𝐸_1 𝐴_1+𝐸_2 𝐴_2 )</a:t>
              </a:r>
              <a:endParaRPr lang="it-IT" sz="1100"/>
            </a:p>
          </xdr:txBody>
        </xdr:sp>
      </mc:Fallback>
    </mc:AlternateContent>
    <xdr:clientData/>
  </xdr:oneCellAnchor>
  <xdr:oneCellAnchor>
    <xdr:from>
      <xdr:col>1</xdr:col>
      <xdr:colOff>0</xdr:colOff>
      <xdr:row>263</xdr:row>
      <xdr:rowOff>0</xdr:rowOff>
    </xdr:from>
    <xdr:ext cx="2286000" cy="361950"/>
    <mc:AlternateContent xmlns:mc="http://schemas.openxmlformats.org/markup-compatibility/2006" xmlns:a14="http://schemas.microsoft.com/office/drawing/2010/main">
      <mc:Choice Requires="a14">
        <xdr:sp macro="" textlink="">
          <xdr:nvSpPr>
            <xdr:cNvPr id="7024" name="TextBox 7023">
              <a:extLst>
                <a:ext uri="{FF2B5EF4-FFF2-40B4-BE49-F238E27FC236}">
                  <a16:creationId xmlns:a16="http://schemas.microsoft.com/office/drawing/2014/main" id="{00000000-0008-0000-0500-0000701B0000}"/>
                </a:ext>
              </a:extLst>
            </xdr:cNvPr>
            <xdr:cNvSpPr txBox="1"/>
          </xdr:nvSpPr>
          <xdr:spPr>
            <a:xfrm>
              <a:off x="95250" y="589407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𝑒𝑓𝑓</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1</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2</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2</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2</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2</m:t>
                        </m:r>
                      </m:sub>
                      <m:sup>
                        <m:r>
                          <a:rPr lang="it-IT" sz="1100" b="0" i="1">
                            <a:latin typeface="Cambria Math" panose="02040503050406030204" pitchFamily="18" charset="0"/>
                          </a:rPr>
                          <m:t>2</m:t>
                        </m:r>
                      </m:sup>
                    </m:sSubSup>
                    <m:r>
                      <a:rPr lang="it-IT" sz="1100" b="0" i="1">
                        <a:latin typeface="Cambria Math" panose="02040503050406030204" pitchFamily="18" charset="0"/>
                      </a:rPr>
                      <m:t>+</m:t>
                    </m:r>
                    <m:sSub>
                      <m:sSubPr>
                        <m:ctrlPr>
                          <a:rPr lang="it-IT" sz="1100" b="0" i="1">
                            <a:latin typeface="Cambria Math" panose="02040503050406030204" pitchFamily="18" charset="0"/>
                          </a:rPr>
                        </m:ctrlPr>
                      </m:sSubPr>
                      <m:e>
                        <m:r>
                          <a:rPr lang="it-IT" sz="1100" b="0" i="1">
                            <a:latin typeface="Cambria Math" panose="02040503050406030204" pitchFamily="18" charset="0"/>
                          </a:rPr>
                          <m:t>𝛾</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𝐸</m:t>
                        </m:r>
                      </m:e>
                      <m:sub>
                        <m:r>
                          <a:rPr lang="it-IT" sz="1100" b="0" i="1">
                            <a:latin typeface="Cambria Math" panose="02040503050406030204" pitchFamily="18" charset="0"/>
                          </a:rPr>
                          <m:t>1</m:t>
                        </m:r>
                      </m:sub>
                    </m:sSub>
                    <m:sSub>
                      <m:sSubPr>
                        <m:ctrlPr>
                          <a:rPr lang="it-IT" sz="1100" b="0" i="1">
                            <a:latin typeface="Cambria Math" panose="02040503050406030204" pitchFamily="18" charset="0"/>
                          </a:rPr>
                        </m:ctrlPr>
                      </m:sSubPr>
                      <m:e>
                        <m:r>
                          <a:rPr lang="it-IT" sz="1100" b="0" i="1">
                            <a:latin typeface="Cambria Math" panose="02040503050406030204" pitchFamily="18" charset="0"/>
                          </a:rPr>
                          <m:t>𝐴</m:t>
                        </m:r>
                      </m:e>
                      <m:sub>
                        <m:r>
                          <a:rPr lang="it-IT" sz="1100" b="0" i="1">
                            <a:latin typeface="Cambria Math" panose="02040503050406030204" pitchFamily="18" charset="0"/>
                          </a:rPr>
                          <m:t>1</m:t>
                        </m:r>
                      </m:sub>
                    </m:sSub>
                    <m:sSubSup>
                      <m:sSubSupPr>
                        <m:ctrlPr>
                          <a:rPr lang="it-IT" sz="1100" b="0" i="1">
                            <a:latin typeface="Cambria Math" panose="02040503050406030204" pitchFamily="18" charset="0"/>
                          </a:rPr>
                        </m:ctrlPr>
                      </m:sSubSupPr>
                      <m:e>
                        <m:r>
                          <a:rPr lang="it-IT" sz="1100" b="0" i="1">
                            <a:latin typeface="Cambria Math" panose="02040503050406030204" pitchFamily="18" charset="0"/>
                          </a:rPr>
                          <m:t>𝑎</m:t>
                        </m:r>
                      </m:e>
                      <m:sub>
                        <m:r>
                          <a:rPr lang="it-IT" sz="1100" b="0" i="1">
                            <a:latin typeface="Cambria Math" panose="02040503050406030204" pitchFamily="18" charset="0"/>
                          </a:rPr>
                          <m:t>1</m:t>
                        </m:r>
                      </m:sub>
                      <m:sup>
                        <m:r>
                          <a:rPr lang="it-IT" sz="1100" b="0" i="1">
                            <a:latin typeface="Cambria Math" panose="02040503050406030204" pitchFamily="18" charset="0"/>
                          </a:rPr>
                          <m:t>2</m:t>
                        </m:r>
                      </m:sup>
                    </m:sSubSup>
                  </m:oMath>
                </m:oMathPara>
              </a14:m>
              <a:endParaRPr lang="it-IT" sz="1100"/>
            </a:p>
          </xdr:txBody>
        </xdr:sp>
      </mc:Choice>
      <mc:Fallback xmlns="">
        <xdr:sp macro="" textlink="">
          <xdr:nvSpPr>
            <xdr:cNvPr id="7024" name="TextBox 7023">
              <a:extLst>
                <a:ext uri="{FF2B5EF4-FFF2-40B4-BE49-F238E27FC236}">
                  <a16:creationId xmlns:a16="http://schemas.microsoft.com/office/drawing/2014/main" id="{0F811825-5A9D-4367-AFED-8BE096AAC28D}"/>
                </a:ext>
              </a:extLst>
            </xdr:cNvPr>
            <xdr:cNvSpPr txBox="1"/>
          </xdr:nvSpPr>
          <xdr:spPr>
            <a:xfrm>
              <a:off x="95250" y="58940700"/>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(𝐸𝐽)_𝑒𝑓𝑓=𝐸_1 𝐽_1+𝐸_2 𝐽_2+𝐸_2 𝐴_2 𝑎_2^2+𝛾_1 𝐸_1 𝐴_1 𝑎_1^2</a:t>
              </a:r>
              <a:endParaRPr lang="it-IT" sz="1100"/>
            </a:p>
          </xdr:txBody>
        </xdr:sp>
      </mc:Fallback>
    </mc:AlternateContent>
    <xdr:clientData/>
  </xdr:oneCellAnchor>
  <xdr:oneCellAnchor>
    <xdr:from>
      <xdr:col>1</xdr:col>
      <xdr:colOff>0</xdr:colOff>
      <xdr:row>267</xdr:row>
      <xdr:rowOff>0</xdr:rowOff>
    </xdr:from>
    <xdr:ext cx="2286000" cy="381000"/>
    <mc:AlternateContent xmlns:mc="http://schemas.openxmlformats.org/markup-compatibility/2006" xmlns:a14="http://schemas.microsoft.com/office/drawing/2010/main">
      <mc:Choice Requires="a14">
        <xdr:sp macro="" textlink="">
          <xdr:nvSpPr>
            <xdr:cNvPr id="7025" name="TextBox 7024">
              <a:extLst>
                <a:ext uri="{FF2B5EF4-FFF2-40B4-BE49-F238E27FC236}">
                  <a16:creationId xmlns:a16="http://schemas.microsoft.com/office/drawing/2014/main" id="{00000000-0008-0000-0500-0000711B0000}"/>
                </a:ext>
              </a:extLst>
            </xdr:cNvPr>
            <xdr:cNvSpPr txBox="1"/>
          </xdr:nvSpPr>
          <xdr:spPr>
            <a:xfrm>
              <a:off x="95250" y="597789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r>
                          <a:rPr lang="it-IT" sz="1100" b="0" i="1">
                            <a:latin typeface="Cambria Math" panose="02040503050406030204" pitchFamily="18" charset="0"/>
                          </a:rPr>
                          <m:t>𝜂</m:t>
                        </m:r>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f>
                      <m:fPr>
                        <m:ctrlPr>
                          <a:rPr lang="it-IT" sz="1100" b="0" i="1">
                            <a:latin typeface="Cambria Math" panose="02040503050406030204" pitchFamily="18" charset="0"/>
                          </a:rPr>
                        </m:ctrlPr>
                      </m:fPr>
                      <m:num>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𝑒𝑓𝑓</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num>
                      <m:den>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r>
                          <a:rPr lang="it-IT" sz="1100" b="0" i="1">
                            <a:latin typeface="Cambria Math" panose="02040503050406030204" pitchFamily="18" charset="0"/>
                          </a:rPr>
                          <m:t>−</m:t>
                        </m:r>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0</m:t>
                            </m:r>
                          </m:sub>
                        </m:sSub>
                      </m:den>
                    </m:f>
                  </m:oMath>
                </m:oMathPara>
              </a14:m>
              <a:endParaRPr lang="it-IT" sz="1100"/>
            </a:p>
          </xdr:txBody>
        </xdr:sp>
      </mc:Choice>
      <mc:Fallback xmlns="">
        <xdr:sp macro="" textlink="">
          <xdr:nvSpPr>
            <xdr:cNvPr id="7025" name="TextBox 7024">
              <a:extLst>
                <a:ext uri="{FF2B5EF4-FFF2-40B4-BE49-F238E27FC236}">
                  <a16:creationId xmlns:a16="http://schemas.microsoft.com/office/drawing/2014/main" id="{6ED1CB4F-8D57-46F3-8E33-459F817EDE77}"/>
                </a:ext>
              </a:extLst>
            </xdr:cNvPr>
            <xdr:cNvSpPr txBox="1"/>
          </xdr:nvSpPr>
          <xdr:spPr>
            <a:xfrm>
              <a:off x="95250" y="59778900"/>
              <a:ext cx="22860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𝜂_(𝑡=0)=(𝐸𝐽_𝑒𝑓𝑓−𝐸𝐽_0)/(𝐸𝐽_∞−𝐸𝐽_0 )</a:t>
              </a:r>
              <a:endParaRPr lang="it-IT" sz="1100"/>
            </a:p>
          </xdr:txBody>
        </xdr:sp>
      </mc:Fallback>
    </mc:AlternateContent>
    <xdr:clientData/>
  </xdr:oneCellAnchor>
  <xdr:oneCellAnchor>
    <xdr:from>
      <xdr:col>1</xdr:col>
      <xdr:colOff>1138858</xdr:colOff>
      <xdr:row>253</xdr:row>
      <xdr:rowOff>0</xdr:rowOff>
    </xdr:from>
    <xdr:ext cx="1147142" cy="647700"/>
    <mc:AlternateContent xmlns:mc="http://schemas.openxmlformats.org/markup-compatibility/2006" xmlns:a14="http://schemas.microsoft.com/office/drawing/2010/main">
      <mc:Choice Requires="a14">
        <xdr:sp macro="" textlink="">
          <xdr:nvSpPr>
            <xdr:cNvPr id="7026" name="TextBox 7025">
              <a:extLst>
                <a:ext uri="{FF2B5EF4-FFF2-40B4-BE49-F238E27FC236}">
                  <a16:creationId xmlns:a16="http://schemas.microsoft.com/office/drawing/2014/main" id="{00000000-0008-0000-0500-0000721B0000}"/>
                </a:ext>
              </a:extLst>
            </xdr:cNvPr>
            <xdr:cNvSpPr txBox="1"/>
          </xdr:nvSpPr>
          <xdr:spPr>
            <a:xfrm>
              <a:off x="1234108" y="562356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r>
                      <a:rPr lang="it-IT" sz="1100" b="0" i="1">
                        <a:latin typeface="Cambria Math" panose="02040503050406030204" pitchFamily="18" charset="0"/>
                      </a:rPr>
                      <m:t>𝑎</m:t>
                    </m:r>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ℎ</m:t>
                            </m:r>
                          </m:e>
                          <m:sub>
                            <m:r>
                              <a:rPr lang="it-IT" sz="1100" b="0" i="1">
                                <a:latin typeface="Cambria Math" panose="02040503050406030204" pitchFamily="18" charset="0"/>
                              </a:rPr>
                              <m:t>1</m:t>
                            </m:r>
                          </m:sub>
                        </m:sSub>
                      </m:num>
                      <m:den>
                        <m:r>
                          <a:rPr lang="it-IT" sz="1100" b="0" i="1">
                            <a:latin typeface="Cambria Math" panose="02040503050406030204" pitchFamily="18" charset="0"/>
                          </a:rPr>
                          <m:t>2</m:t>
                        </m:r>
                      </m:den>
                    </m:f>
                    <m:r>
                      <a:rPr lang="it-IT" sz="1100" b="0" i="1">
                        <a:latin typeface="Cambria Math" panose="02040503050406030204" pitchFamily="18" charset="0"/>
                      </a:rPr>
                      <m:t>+</m:t>
                    </m:r>
                    <m:f>
                      <m:fPr>
                        <m:ctrlPr>
                          <a:rPr lang="it-IT" sz="1100" b="0" i="1">
                            <a:latin typeface="Cambria Math" panose="02040503050406030204" pitchFamily="18" charset="0"/>
                          </a:rPr>
                        </m:ctrlPr>
                      </m:fPr>
                      <m:num>
                        <m:sSub>
                          <m:sSubPr>
                            <m:ctrlPr>
                              <a:rPr lang="it-IT" sz="1100" b="0" i="1">
                                <a:latin typeface="Cambria Math" panose="02040503050406030204" pitchFamily="18" charset="0"/>
                              </a:rPr>
                            </m:ctrlPr>
                          </m:sSubPr>
                          <m:e>
                            <m:r>
                              <a:rPr lang="it-IT" sz="1100" b="0" i="1">
                                <a:latin typeface="Cambria Math" panose="02040503050406030204" pitchFamily="18" charset="0"/>
                              </a:rPr>
                              <m:t>ℎ</m:t>
                            </m:r>
                          </m:e>
                          <m:sub>
                            <m:r>
                              <a:rPr lang="it-IT" sz="1100" b="0" i="1">
                                <a:latin typeface="Cambria Math" panose="02040503050406030204" pitchFamily="18" charset="0"/>
                              </a:rPr>
                              <m:t>2</m:t>
                            </m:r>
                          </m:sub>
                        </m:sSub>
                      </m:num>
                      <m:den>
                        <m:r>
                          <a:rPr lang="it-IT" sz="1100" b="0" i="1">
                            <a:latin typeface="Cambria Math" panose="02040503050406030204" pitchFamily="18" charset="0"/>
                          </a:rPr>
                          <m:t>2</m:t>
                        </m:r>
                      </m:den>
                    </m:f>
                  </m:oMath>
                </m:oMathPara>
              </a14:m>
              <a:endParaRPr lang="it-IT" sz="1100"/>
            </a:p>
          </xdr:txBody>
        </xdr:sp>
      </mc:Choice>
      <mc:Fallback xmlns="">
        <xdr:sp macro="" textlink="">
          <xdr:nvSpPr>
            <xdr:cNvPr id="7026" name="TextBox 7025">
              <a:extLst>
                <a:ext uri="{FF2B5EF4-FFF2-40B4-BE49-F238E27FC236}">
                  <a16:creationId xmlns:a16="http://schemas.microsoft.com/office/drawing/2014/main" id="{B39D3457-2FF8-4FFF-8A64-B806FDDAAEEC}"/>
                </a:ext>
              </a:extLst>
            </xdr:cNvPr>
            <xdr:cNvSpPr txBox="1"/>
          </xdr:nvSpPr>
          <xdr:spPr>
            <a:xfrm>
              <a:off x="1234108" y="56235600"/>
              <a:ext cx="1147142"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𝑎=ℎ_1/2+ℎ_2/2</a:t>
              </a:r>
              <a:endParaRPr lang="it-IT" sz="1100"/>
            </a:p>
          </xdr:txBody>
        </xdr:sp>
      </mc:Fallback>
    </mc:AlternateContent>
    <xdr:clientData/>
  </xdr:oneCellAnchor>
  <xdr:oneCellAnchor>
    <xdr:from>
      <xdr:col>1</xdr:col>
      <xdr:colOff>0</xdr:colOff>
      <xdr:row>256</xdr:row>
      <xdr:rowOff>0</xdr:rowOff>
    </xdr:from>
    <xdr:ext cx="2286000" cy="361950"/>
    <mc:AlternateContent xmlns:mc="http://schemas.openxmlformats.org/markup-compatibility/2006" xmlns:a14="http://schemas.microsoft.com/office/drawing/2010/main">
      <mc:Choice Requires="a14">
        <xdr:sp macro="" textlink="">
          <xdr:nvSpPr>
            <xdr:cNvPr id="7027" name="TextBox 7026">
              <a:extLst>
                <a:ext uri="{FF2B5EF4-FFF2-40B4-BE49-F238E27FC236}">
                  <a16:creationId xmlns:a16="http://schemas.microsoft.com/office/drawing/2014/main" id="{00000000-0008-0000-0500-0000731B0000}"/>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m:t>
                            </m:r>
                            <m:sSub>
                              <m:sSubPr>
                                <m:ctrlPr>
                                  <a:rPr lang="it-IT" sz="1100" b="0" i="1">
                                    <a:latin typeface="Cambria Math" panose="02040503050406030204" pitchFamily="18" charset="0"/>
                                  </a:rPr>
                                </m:ctrlPr>
                              </m:sSubPr>
                              <m:e>
                                <m:r>
                                  <a:rPr lang="it-IT" sz="1100" b="0" i="1">
                                    <a:latin typeface="Cambria Math" panose="02040503050406030204" pitchFamily="18" charset="0"/>
                                  </a:rPr>
                                  <m:t>𝐽</m:t>
                                </m:r>
                              </m:e>
                              <m:sub>
                                <m:r>
                                  <a:rPr lang="it-IT" sz="1100" b="0" i="1">
                                    <a:latin typeface="Cambria Math" panose="02040503050406030204" pitchFamily="18" charset="0"/>
                                  </a:rPr>
                                  <m:t>∞</m:t>
                                </m:r>
                              </m:sub>
                            </m:sSub>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latin typeface="Cambria Math" panose="02040503050406030204" pitchFamily="18" charset="0"/>
                          </a:rPr>
                        </m:ctrlPr>
                      </m:sSubPr>
                      <m:e>
                        <m:d>
                          <m:dPr>
                            <m:ctrlPr>
                              <a:rPr lang="it-IT" sz="1100" b="0" i="1">
                                <a:latin typeface="Cambria Math" panose="02040503050406030204" pitchFamily="18" charset="0"/>
                              </a:rPr>
                            </m:ctrlPr>
                          </m:dPr>
                          <m:e>
                            <m:r>
                              <a:rPr lang="it-IT" sz="1100" b="0" i="1">
                                <a:latin typeface="Cambria Math" panose="02040503050406030204" pitchFamily="18" charset="0"/>
                              </a:rPr>
                              <m:t>𝐸𝐽</m:t>
                            </m:r>
                          </m:e>
                        </m:d>
                      </m:e>
                      <m:sub>
                        <m:r>
                          <a:rPr lang="it-IT" sz="1100" b="0" i="1">
                            <a:latin typeface="Cambria Math" panose="02040503050406030204" pitchFamily="18" charset="0"/>
                          </a:rPr>
                          <m:t>𝑡</m:t>
                        </m:r>
                        <m:r>
                          <a:rPr lang="it-IT" sz="1100" b="0" i="1">
                            <a:latin typeface="Cambria Math" panose="02040503050406030204" pitchFamily="18" charset="0"/>
                          </a:rPr>
                          <m:t>=0</m:t>
                        </m:r>
                      </m:sub>
                    </m:sSub>
                    <m:r>
                      <a:rPr lang="it-IT" sz="1100" b="0" i="1">
                        <a:latin typeface="Cambria Math" panose="02040503050406030204" pitchFamily="18" charset="0"/>
                      </a:rPr>
                      <m:t>+</m:t>
                    </m:r>
                    <m:sSub>
                      <m:sSubPr>
                        <m:ctrlPr>
                          <a:rPr lang="it-IT" sz="1100" b="0" i="1">
                            <a:solidFill>
                              <a:schemeClr val="tx1"/>
                            </a:solidFill>
                            <a:effectLst/>
                            <a:latin typeface="Cambria Math" panose="02040503050406030204" pitchFamily="18" charset="0"/>
                            <a:ea typeface="+mn-ea"/>
                            <a:cs typeface="+mn-cs"/>
                          </a:rPr>
                        </m:ctrlPr>
                      </m:sSubPr>
                      <m:e>
                        <m:d>
                          <m:dPr>
                            <m:ctrlPr>
                              <a:rPr lang="it-IT" sz="1100" b="0" i="1">
                                <a:solidFill>
                                  <a:schemeClr val="tx1"/>
                                </a:solidFill>
                                <a:effectLst/>
                                <a:latin typeface="Cambria Math" panose="02040503050406030204" pitchFamily="18" charset="0"/>
                                <a:ea typeface="+mn-ea"/>
                                <a:cs typeface="+mn-cs"/>
                              </a:rPr>
                            </m:ctrlPr>
                          </m:dPr>
                          <m:e>
                            <m:r>
                              <a:rPr lang="it-IT" sz="1100" b="0" i="1">
                                <a:solidFill>
                                  <a:schemeClr val="tx1"/>
                                </a:solidFill>
                                <a:effectLst/>
                                <a:latin typeface="Cambria Math" panose="02040503050406030204" pitchFamily="18" charset="0"/>
                                <a:ea typeface="+mn-ea"/>
                                <a:cs typeface="+mn-cs"/>
                              </a:rPr>
                              <m:t>𝐸𝐴</m:t>
                            </m:r>
                          </m:e>
                        </m:d>
                      </m:e>
                      <m:sub>
                        <m:r>
                          <a:rPr lang="it-IT" sz="1100" b="0" i="1">
                            <a:solidFill>
                              <a:schemeClr val="tx1"/>
                            </a:solidFill>
                            <a:effectLst/>
                            <a:latin typeface="Cambria Math" panose="02040503050406030204" pitchFamily="18" charset="0"/>
                            <a:ea typeface="+mn-ea"/>
                            <a:cs typeface="+mn-cs"/>
                          </a:rPr>
                          <m:t>𝑡</m:t>
                        </m:r>
                        <m:r>
                          <a:rPr lang="it-IT" sz="1100" b="0" i="1">
                            <a:solidFill>
                              <a:schemeClr val="tx1"/>
                            </a:solidFill>
                            <a:effectLst/>
                            <a:latin typeface="Cambria Math" panose="02040503050406030204" pitchFamily="18" charset="0"/>
                            <a:ea typeface="+mn-ea"/>
                            <a:cs typeface="+mn-cs"/>
                          </a:rPr>
                          <m:t>=0</m:t>
                        </m:r>
                      </m:sub>
                    </m:sSub>
                    <m:r>
                      <a:rPr lang="it-IT" sz="1100" b="0" i="1">
                        <a:solidFill>
                          <a:schemeClr val="tx1"/>
                        </a:solidFill>
                        <a:effectLst/>
                        <a:latin typeface="Cambria Math" panose="02040503050406030204" pitchFamily="18" charset="0"/>
                        <a:ea typeface="+mn-ea"/>
                        <a:cs typeface="+mn-cs"/>
                      </a:rPr>
                      <m:t>⋅</m:t>
                    </m:r>
                    <m:sSup>
                      <m:sSupPr>
                        <m:ctrlPr>
                          <a:rPr lang="it-IT" sz="1100" b="0" i="1">
                            <a:solidFill>
                              <a:schemeClr val="tx1"/>
                            </a:solidFill>
                            <a:effectLst/>
                            <a:latin typeface="Cambria Math" panose="02040503050406030204" pitchFamily="18" charset="0"/>
                            <a:ea typeface="+mn-ea"/>
                            <a:cs typeface="+mn-cs"/>
                          </a:rPr>
                        </m:ctrlPr>
                      </m:sSupPr>
                      <m:e>
                        <m:r>
                          <a:rPr lang="it-IT" sz="1100" b="0" i="1">
                            <a:solidFill>
                              <a:schemeClr val="tx1"/>
                            </a:solidFill>
                            <a:effectLst/>
                            <a:latin typeface="Cambria Math" panose="02040503050406030204" pitchFamily="18" charset="0"/>
                            <a:ea typeface="+mn-ea"/>
                            <a:cs typeface="+mn-cs"/>
                          </a:rPr>
                          <m:t>𝑎</m:t>
                        </m:r>
                      </m:e>
                      <m:sup>
                        <m:r>
                          <a:rPr lang="it-IT" sz="1100" b="0" i="1">
                            <a:solidFill>
                              <a:schemeClr val="tx1"/>
                            </a:solidFill>
                            <a:effectLst/>
                            <a:latin typeface="Cambria Math" panose="02040503050406030204" pitchFamily="18" charset="0"/>
                            <a:ea typeface="+mn-ea"/>
                            <a:cs typeface="+mn-cs"/>
                          </a:rPr>
                          <m:t>2</m:t>
                        </m:r>
                      </m:sup>
                    </m:sSup>
                  </m:oMath>
                </m:oMathPara>
              </a14:m>
              <a:endParaRPr lang="it-IT" sz="1100"/>
            </a:p>
          </xdr:txBody>
        </xdr:sp>
      </mc:Choice>
      <mc:Fallback xmlns="">
        <xdr:sp macro="" textlink="">
          <xdr:nvSpPr>
            <xdr:cNvPr id="7027" name="TextBox 7026">
              <a:extLst>
                <a:ext uri="{FF2B5EF4-FFF2-40B4-BE49-F238E27FC236}">
                  <a16:creationId xmlns:a16="http://schemas.microsoft.com/office/drawing/2014/main" id="{74329A85-E090-4A48-806F-669711EFC9A2}"/>
                </a:ext>
              </a:extLst>
            </xdr:cNvPr>
            <xdr:cNvSpPr txBox="1"/>
          </xdr:nvSpPr>
          <xdr:spPr>
            <a:xfrm>
              <a:off x="95250" y="57159525"/>
              <a:ext cx="22860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it-IT" sz="1100" b="0" i="0">
                  <a:latin typeface="Cambria Math" panose="02040503050406030204" pitchFamily="18" charset="0"/>
                </a:rPr>
                <a:t>(𝐸𝐽_∞ )_(𝑡=0)=(𝐸𝐽)_(𝑡=0)+</a:t>
              </a:r>
              <a:r>
                <a:rPr lang="it-IT" sz="1100" b="0" i="0">
                  <a:solidFill>
                    <a:schemeClr val="tx1"/>
                  </a:solidFill>
                  <a:effectLst/>
                  <a:latin typeface="Cambria Math" panose="02040503050406030204" pitchFamily="18" charset="0"/>
                  <a:ea typeface="+mn-ea"/>
                  <a:cs typeface="+mn-cs"/>
                </a:rPr>
                <a:t>(𝐸𝐴)_(𝑡=0)⋅𝑎^2</a:t>
              </a:r>
              <a:endParaRPr lang="it-IT" sz="1100"/>
            </a:p>
          </xdr:txBody>
        </xdr:sp>
      </mc:Fallback>
    </mc:AlternateContent>
    <xdr:clientData/>
  </xdr:oneCellAnchor>
  <xdr:twoCellAnchor>
    <xdr:from>
      <xdr:col>3</xdr:col>
      <xdr:colOff>226919</xdr:colOff>
      <xdr:row>120</xdr:row>
      <xdr:rowOff>57150</xdr:rowOff>
    </xdr:from>
    <xdr:to>
      <xdr:col>8</xdr:col>
      <xdr:colOff>249331</xdr:colOff>
      <xdr:row>120</xdr:row>
      <xdr:rowOff>1847850</xdr:rowOff>
    </xdr:to>
    <xdr:grpSp>
      <xdr:nvGrpSpPr>
        <xdr:cNvPr id="6832" name="VBA_Geometry">
          <a:extLst>
            <a:ext uri="{FF2B5EF4-FFF2-40B4-BE49-F238E27FC236}">
              <a16:creationId xmlns:a16="http://schemas.microsoft.com/office/drawing/2014/main" id="{00000000-0008-0000-0500-0000B01A0000}"/>
            </a:ext>
          </a:extLst>
        </xdr:cNvPr>
        <xdr:cNvGrpSpPr>
          <a:grpSpLocks/>
        </xdr:cNvGrpSpPr>
      </xdr:nvGrpSpPr>
      <xdr:grpSpPr>
        <a:xfrm>
          <a:off x="2036669" y="33270825"/>
          <a:ext cx="3165662" cy="1790700"/>
          <a:chOff x="0" y="32985075"/>
          <a:chExt cx="3165662" cy="1790700"/>
        </a:xfrm>
      </xdr:grpSpPr>
      <xdr:sp macro="" textlink="">
        <xdr:nvSpPr>
          <xdr:cNvPr id="6789" name="VBA_CLT_Board_0_0">
            <a:extLst>
              <a:ext uri="{FF2B5EF4-FFF2-40B4-BE49-F238E27FC236}">
                <a16:creationId xmlns:a16="http://schemas.microsoft.com/office/drawing/2014/main" id="{00000000-0008-0000-0500-0000851A0000}"/>
              </a:ext>
            </a:extLst>
          </xdr:cNvPr>
          <xdr:cNvSpPr/>
        </xdr:nvSpPr>
        <xdr:spPr>
          <a:xfrm>
            <a:off x="476250" y="3340417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0" name="VBA_CLT_Board_0_1">
            <a:extLst>
              <a:ext uri="{FF2B5EF4-FFF2-40B4-BE49-F238E27FC236}">
                <a16:creationId xmlns:a16="http://schemas.microsoft.com/office/drawing/2014/main" id="{00000000-0008-0000-0500-0000861A0000}"/>
              </a:ext>
            </a:extLst>
          </xdr:cNvPr>
          <xdr:cNvSpPr/>
        </xdr:nvSpPr>
        <xdr:spPr>
          <a:xfrm>
            <a:off x="860452" y="33404175"/>
            <a:ext cx="384201"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1" name="VBA_CLT_Board_0_2">
            <a:extLst>
              <a:ext uri="{FF2B5EF4-FFF2-40B4-BE49-F238E27FC236}">
                <a16:creationId xmlns:a16="http://schemas.microsoft.com/office/drawing/2014/main" id="{00000000-0008-0000-0500-0000871A0000}"/>
              </a:ext>
            </a:extLst>
          </xdr:cNvPr>
          <xdr:cNvSpPr/>
        </xdr:nvSpPr>
        <xdr:spPr>
          <a:xfrm>
            <a:off x="1244653" y="3340417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2" name="VBA_CLT_Board_0_3">
            <a:extLst>
              <a:ext uri="{FF2B5EF4-FFF2-40B4-BE49-F238E27FC236}">
                <a16:creationId xmlns:a16="http://schemas.microsoft.com/office/drawing/2014/main" id="{00000000-0008-0000-0500-0000881A0000}"/>
              </a:ext>
            </a:extLst>
          </xdr:cNvPr>
          <xdr:cNvSpPr/>
        </xdr:nvSpPr>
        <xdr:spPr>
          <a:xfrm>
            <a:off x="1628855" y="33404175"/>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3" name="VBA_CLT_Board_0_4">
            <a:extLst>
              <a:ext uri="{FF2B5EF4-FFF2-40B4-BE49-F238E27FC236}">
                <a16:creationId xmlns:a16="http://schemas.microsoft.com/office/drawing/2014/main" id="{00000000-0008-0000-0500-0000891A0000}"/>
              </a:ext>
            </a:extLst>
          </xdr:cNvPr>
          <xdr:cNvSpPr/>
        </xdr:nvSpPr>
        <xdr:spPr>
          <a:xfrm>
            <a:off x="2013057" y="3340417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4" name="VBA_CLT_Board_0_5">
            <a:extLst>
              <a:ext uri="{FF2B5EF4-FFF2-40B4-BE49-F238E27FC236}">
                <a16:creationId xmlns:a16="http://schemas.microsoft.com/office/drawing/2014/main" id="{00000000-0008-0000-0500-00008A1A0000}"/>
              </a:ext>
            </a:extLst>
          </xdr:cNvPr>
          <xdr:cNvSpPr/>
        </xdr:nvSpPr>
        <xdr:spPr>
          <a:xfrm>
            <a:off x="2397258" y="33404175"/>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5" name="VBA_CLT_Board_0_6">
            <a:extLst>
              <a:ext uri="{FF2B5EF4-FFF2-40B4-BE49-F238E27FC236}">
                <a16:creationId xmlns:a16="http://schemas.microsoft.com/office/drawing/2014/main" id="{00000000-0008-0000-0500-00008B1A0000}"/>
              </a:ext>
            </a:extLst>
          </xdr:cNvPr>
          <xdr:cNvSpPr/>
        </xdr:nvSpPr>
        <xdr:spPr>
          <a:xfrm>
            <a:off x="2781460" y="33404175"/>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6" name="VBA_CLT_Cont_1">
            <a:extLst>
              <a:ext uri="{FF2B5EF4-FFF2-40B4-BE49-F238E27FC236}">
                <a16:creationId xmlns:a16="http://schemas.microsoft.com/office/drawing/2014/main" id="{00000000-0008-0000-0500-00008C1A0000}"/>
              </a:ext>
            </a:extLst>
          </xdr:cNvPr>
          <xdr:cNvSpPr/>
        </xdr:nvSpPr>
        <xdr:spPr>
          <a:xfrm>
            <a:off x="476250" y="33505028"/>
            <a:ext cx="2689412" cy="67236"/>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797" name="VBA_CLT_Board_2_0">
            <a:extLst>
              <a:ext uri="{FF2B5EF4-FFF2-40B4-BE49-F238E27FC236}">
                <a16:creationId xmlns:a16="http://schemas.microsoft.com/office/drawing/2014/main" id="{00000000-0008-0000-0500-00008D1A0000}"/>
              </a:ext>
            </a:extLst>
          </xdr:cNvPr>
          <xdr:cNvSpPr/>
        </xdr:nvSpPr>
        <xdr:spPr>
          <a:xfrm>
            <a:off x="476250" y="33572264"/>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04" name="VBA_CLT_Board_2_1">
            <a:extLst>
              <a:ext uri="{FF2B5EF4-FFF2-40B4-BE49-F238E27FC236}">
                <a16:creationId xmlns:a16="http://schemas.microsoft.com/office/drawing/2014/main" id="{00000000-0008-0000-0500-0000941A0000}"/>
              </a:ext>
            </a:extLst>
          </xdr:cNvPr>
          <xdr:cNvSpPr/>
        </xdr:nvSpPr>
        <xdr:spPr>
          <a:xfrm>
            <a:off x="860452" y="33572264"/>
            <a:ext cx="384201"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05" name="VBA_CLT_Board_2_2">
            <a:extLst>
              <a:ext uri="{FF2B5EF4-FFF2-40B4-BE49-F238E27FC236}">
                <a16:creationId xmlns:a16="http://schemas.microsoft.com/office/drawing/2014/main" id="{00000000-0008-0000-0500-0000951A0000}"/>
              </a:ext>
            </a:extLst>
          </xdr:cNvPr>
          <xdr:cNvSpPr/>
        </xdr:nvSpPr>
        <xdr:spPr>
          <a:xfrm>
            <a:off x="1244653" y="33572264"/>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07" name="VBA_CLT_Board_2_3">
            <a:extLst>
              <a:ext uri="{FF2B5EF4-FFF2-40B4-BE49-F238E27FC236}">
                <a16:creationId xmlns:a16="http://schemas.microsoft.com/office/drawing/2014/main" id="{00000000-0008-0000-0500-0000971A0000}"/>
              </a:ext>
            </a:extLst>
          </xdr:cNvPr>
          <xdr:cNvSpPr/>
        </xdr:nvSpPr>
        <xdr:spPr>
          <a:xfrm>
            <a:off x="1628855" y="33572264"/>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08" name="VBA_CLT_Board_2_4">
            <a:extLst>
              <a:ext uri="{FF2B5EF4-FFF2-40B4-BE49-F238E27FC236}">
                <a16:creationId xmlns:a16="http://schemas.microsoft.com/office/drawing/2014/main" id="{00000000-0008-0000-0500-0000981A0000}"/>
              </a:ext>
            </a:extLst>
          </xdr:cNvPr>
          <xdr:cNvSpPr/>
        </xdr:nvSpPr>
        <xdr:spPr>
          <a:xfrm>
            <a:off x="2013057" y="33572264"/>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09" name="VBA_CLT_Board_2_5">
            <a:extLst>
              <a:ext uri="{FF2B5EF4-FFF2-40B4-BE49-F238E27FC236}">
                <a16:creationId xmlns:a16="http://schemas.microsoft.com/office/drawing/2014/main" id="{00000000-0008-0000-0500-0000991A0000}"/>
              </a:ext>
            </a:extLst>
          </xdr:cNvPr>
          <xdr:cNvSpPr/>
        </xdr:nvSpPr>
        <xdr:spPr>
          <a:xfrm>
            <a:off x="2397258" y="33572264"/>
            <a:ext cx="384202" cy="100853"/>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10" name="VBA_CLT_Board_2_6">
            <a:extLst>
              <a:ext uri="{FF2B5EF4-FFF2-40B4-BE49-F238E27FC236}">
                <a16:creationId xmlns:a16="http://schemas.microsoft.com/office/drawing/2014/main" id="{00000000-0008-0000-0500-00009A1A0000}"/>
              </a:ext>
            </a:extLst>
          </xdr:cNvPr>
          <xdr:cNvSpPr/>
        </xdr:nvSpPr>
        <xdr:spPr>
          <a:xfrm>
            <a:off x="2781460" y="33572264"/>
            <a:ext cx="384202" cy="100853"/>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11" name="VBA_CLT_Bordo">
            <a:extLst>
              <a:ext uri="{FF2B5EF4-FFF2-40B4-BE49-F238E27FC236}">
                <a16:creationId xmlns:a16="http://schemas.microsoft.com/office/drawing/2014/main" id="{00000000-0008-0000-0500-00009B1A0000}"/>
              </a:ext>
            </a:extLst>
          </xdr:cNvPr>
          <xdr:cNvSpPr/>
        </xdr:nvSpPr>
        <xdr:spPr>
          <a:xfrm>
            <a:off x="476250" y="33404175"/>
            <a:ext cx="2689412" cy="268942"/>
          </a:xfrm>
          <a:prstGeom prst="rect">
            <a:avLst/>
          </a:prstGeom>
          <a:noFill/>
          <a:ln w="15875" cap="flat" cmpd="sng" algn="ctr">
            <a:solidFill>
              <a:srgbClr val="503C28"/>
            </a:solidFill>
            <a:prstDash val="solid"/>
          </a:ln>
          <a:effectLst/>
          <a:extLst>
            <a:ext uri="{909E8E84-426E-40DD-AFC4-6F175D3DCCD1}">
              <a14:hiddenFill xmlns:a14="http://schemas.microsoft.com/office/drawing/2010/main">
                <a:solidFill>
                  <a:schemeClr val="accent1"/>
                </a:solidFill>
              </a14:hiddenFill>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12" name="VBA_Geometry_2">
            <a:extLst>
              <a:ext uri="{FF2B5EF4-FFF2-40B4-BE49-F238E27FC236}">
                <a16:creationId xmlns:a16="http://schemas.microsoft.com/office/drawing/2014/main" id="{00000000-0008-0000-0500-00009C1A0000}"/>
              </a:ext>
            </a:extLst>
          </xdr:cNvPr>
          <xdr:cNvSpPr/>
        </xdr:nvSpPr>
        <xdr:spPr>
          <a:xfrm>
            <a:off x="1568824" y="33673117"/>
            <a:ext cx="504264" cy="874058"/>
          </a:xfrm>
          <a:prstGeom prst="rect">
            <a:avLst/>
          </a:prstGeom>
          <a:solidFill>
            <a:srgbClr val="C49A6C"/>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13" name="VBA_GL_Line_1">
            <a:extLst>
              <a:ext uri="{FF2B5EF4-FFF2-40B4-BE49-F238E27FC236}">
                <a16:creationId xmlns:a16="http://schemas.microsoft.com/office/drawing/2014/main" id="{00000000-0008-0000-0500-00009D1A0000}"/>
              </a:ext>
            </a:extLst>
          </xdr:cNvPr>
          <xdr:cNvCxnSpPr/>
        </xdr:nvCxnSpPr>
        <xdr:spPr>
          <a:xfrm>
            <a:off x="1568824" y="33818792"/>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4" name="VBA_GL_Line_2">
            <a:extLst>
              <a:ext uri="{FF2B5EF4-FFF2-40B4-BE49-F238E27FC236}">
                <a16:creationId xmlns:a16="http://schemas.microsoft.com/office/drawing/2014/main" id="{00000000-0008-0000-0500-00009E1A0000}"/>
              </a:ext>
            </a:extLst>
          </xdr:cNvPr>
          <xdr:cNvCxnSpPr/>
        </xdr:nvCxnSpPr>
        <xdr:spPr>
          <a:xfrm>
            <a:off x="1568824" y="33964469"/>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5" name="VBA_GL_Line_3">
            <a:extLst>
              <a:ext uri="{FF2B5EF4-FFF2-40B4-BE49-F238E27FC236}">
                <a16:creationId xmlns:a16="http://schemas.microsoft.com/office/drawing/2014/main" id="{00000000-0008-0000-0500-00009F1A0000}"/>
              </a:ext>
            </a:extLst>
          </xdr:cNvPr>
          <xdr:cNvCxnSpPr/>
        </xdr:nvCxnSpPr>
        <xdr:spPr>
          <a:xfrm>
            <a:off x="1568824" y="34110144"/>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6" name="VBA_GL_Line_4">
            <a:extLst>
              <a:ext uri="{FF2B5EF4-FFF2-40B4-BE49-F238E27FC236}">
                <a16:creationId xmlns:a16="http://schemas.microsoft.com/office/drawing/2014/main" id="{00000000-0008-0000-0500-0000A01A0000}"/>
              </a:ext>
            </a:extLst>
          </xdr:cNvPr>
          <xdr:cNvCxnSpPr/>
        </xdr:nvCxnSpPr>
        <xdr:spPr>
          <a:xfrm>
            <a:off x="1568824" y="34255822"/>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7" name="VBA_GL_Line_5">
            <a:extLst>
              <a:ext uri="{FF2B5EF4-FFF2-40B4-BE49-F238E27FC236}">
                <a16:creationId xmlns:a16="http://schemas.microsoft.com/office/drawing/2014/main" id="{00000000-0008-0000-0500-0000A11A0000}"/>
              </a:ext>
            </a:extLst>
          </xdr:cNvPr>
          <xdr:cNvCxnSpPr/>
        </xdr:nvCxnSpPr>
        <xdr:spPr>
          <a:xfrm>
            <a:off x="1568824" y="34401497"/>
            <a:ext cx="504264"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18" name="VBA_Quota_Line_22">
            <a:extLst>
              <a:ext uri="{FF2B5EF4-FFF2-40B4-BE49-F238E27FC236}">
                <a16:creationId xmlns:a16="http://schemas.microsoft.com/office/drawing/2014/main" id="{00000000-0008-0000-0500-0000A21A0000}"/>
              </a:ext>
            </a:extLst>
          </xdr:cNvPr>
          <xdr:cNvCxnSpPr/>
        </xdr:nvCxnSpPr>
        <xdr:spPr>
          <a:xfrm>
            <a:off x="247650" y="33404175"/>
            <a:ext cx="0" cy="268942"/>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19" name="VBA_Quota_Text_23">
            <a:extLst>
              <a:ext uri="{FF2B5EF4-FFF2-40B4-BE49-F238E27FC236}">
                <a16:creationId xmlns:a16="http://schemas.microsoft.com/office/drawing/2014/main" id="{00000000-0008-0000-0500-0000A31A0000}"/>
              </a:ext>
            </a:extLst>
          </xdr:cNvPr>
          <xdr:cNvSpPr txBox="1"/>
        </xdr:nvSpPr>
        <xdr:spPr>
          <a:xfrm>
            <a:off x="0" y="33456094"/>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h₁=80mm</a:t>
            </a:r>
          </a:p>
        </xdr:txBody>
      </xdr:sp>
      <xdr:cxnSp macro="">
        <xdr:nvCxnSpPr>
          <xdr:cNvPr id="6820" name="VBA_Quota_Line_24">
            <a:extLst>
              <a:ext uri="{FF2B5EF4-FFF2-40B4-BE49-F238E27FC236}">
                <a16:creationId xmlns:a16="http://schemas.microsoft.com/office/drawing/2014/main" id="{00000000-0008-0000-0500-0000A41A0000}"/>
              </a:ext>
            </a:extLst>
          </xdr:cNvPr>
          <xdr:cNvCxnSpPr/>
        </xdr:nvCxnSpPr>
        <xdr:spPr>
          <a:xfrm>
            <a:off x="1340224" y="33673117"/>
            <a:ext cx="0" cy="874058"/>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21" name="VBA_Quota_Text_25">
            <a:extLst>
              <a:ext uri="{FF2B5EF4-FFF2-40B4-BE49-F238E27FC236}">
                <a16:creationId xmlns:a16="http://schemas.microsoft.com/office/drawing/2014/main" id="{00000000-0008-0000-0500-0000A51A0000}"/>
              </a:ext>
            </a:extLst>
          </xdr:cNvPr>
          <xdr:cNvSpPr txBox="1"/>
        </xdr:nvSpPr>
        <xdr:spPr>
          <a:xfrm>
            <a:off x="679824" y="34027594"/>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h₂=260mm</a:t>
            </a:r>
          </a:p>
        </xdr:txBody>
      </xdr:sp>
      <xdr:cxnSp macro="">
        <xdr:nvCxnSpPr>
          <xdr:cNvPr id="6822" name="VBA_Quota_Line_26">
            <a:extLst>
              <a:ext uri="{FF2B5EF4-FFF2-40B4-BE49-F238E27FC236}">
                <a16:creationId xmlns:a16="http://schemas.microsoft.com/office/drawing/2014/main" id="{00000000-0008-0000-0500-0000A61A0000}"/>
              </a:ext>
            </a:extLst>
          </xdr:cNvPr>
          <xdr:cNvCxnSpPr/>
        </xdr:nvCxnSpPr>
        <xdr:spPr>
          <a:xfrm>
            <a:off x="476250" y="33175575"/>
            <a:ext cx="2689412"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23" name="VBA_Quota_Text_27">
            <a:extLst>
              <a:ext uri="{FF2B5EF4-FFF2-40B4-BE49-F238E27FC236}">
                <a16:creationId xmlns:a16="http://schemas.microsoft.com/office/drawing/2014/main" id="{00000000-0008-0000-0500-0000A71A0000}"/>
              </a:ext>
            </a:extLst>
          </xdr:cNvPr>
          <xdr:cNvSpPr txBox="1"/>
        </xdr:nvSpPr>
        <xdr:spPr>
          <a:xfrm>
            <a:off x="1503456" y="3298507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b₁=800mm</a:t>
            </a:r>
          </a:p>
        </xdr:txBody>
      </xdr:sp>
      <xdr:cxnSp macro="">
        <xdr:nvCxnSpPr>
          <xdr:cNvPr id="6824" name="VBA_Quota_Line_28">
            <a:extLst>
              <a:ext uri="{FF2B5EF4-FFF2-40B4-BE49-F238E27FC236}">
                <a16:creationId xmlns:a16="http://schemas.microsoft.com/office/drawing/2014/main" id="{00000000-0008-0000-0500-0000A81A0000}"/>
              </a:ext>
            </a:extLst>
          </xdr:cNvPr>
          <xdr:cNvCxnSpPr/>
        </xdr:nvCxnSpPr>
        <xdr:spPr>
          <a:xfrm>
            <a:off x="1568824" y="34775775"/>
            <a:ext cx="50426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25" name="VBA_Quota_Text_29">
            <a:extLst>
              <a:ext uri="{FF2B5EF4-FFF2-40B4-BE49-F238E27FC236}">
                <a16:creationId xmlns:a16="http://schemas.microsoft.com/office/drawing/2014/main" id="{00000000-0008-0000-0500-0000A91A0000}"/>
              </a:ext>
            </a:extLst>
          </xdr:cNvPr>
          <xdr:cNvSpPr txBox="1"/>
        </xdr:nvSpPr>
        <xdr:spPr>
          <a:xfrm>
            <a:off x="1503456" y="34585275"/>
            <a:ext cx="635000" cy="165100"/>
          </a:xfrm>
          <a:prstGeom prst="rect">
            <a:avLst/>
          </a:prstGeom>
          <a:solidFill>
            <a:srgbClr val="FFFFFF">
              <a:alpha val="70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b₂=150mm</a:t>
            </a:r>
          </a:p>
        </xdr:txBody>
      </xdr:sp>
      <xdr:sp macro="" textlink="">
        <xdr:nvSpPr>
          <xdr:cNvPr id="6830" name="VBA_Circle_1_30">
            <a:extLst>
              <a:ext uri="{FF2B5EF4-FFF2-40B4-BE49-F238E27FC236}">
                <a16:creationId xmlns:a16="http://schemas.microsoft.com/office/drawing/2014/main" id="{00000000-0008-0000-0500-0000AE1A0000}"/>
              </a:ext>
            </a:extLst>
          </xdr:cNvPr>
          <xdr:cNvSpPr/>
        </xdr:nvSpPr>
        <xdr:spPr>
          <a:xfrm>
            <a:off x="1719356" y="33437044"/>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1</a:t>
            </a:r>
          </a:p>
        </xdr:txBody>
      </xdr:sp>
      <xdr:sp macro="" textlink="">
        <xdr:nvSpPr>
          <xdr:cNvPr id="6831" name="VBA_Circle_2_31">
            <a:extLst>
              <a:ext uri="{FF2B5EF4-FFF2-40B4-BE49-F238E27FC236}">
                <a16:creationId xmlns:a16="http://schemas.microsoft.com/office/drawing/2014/main" id="{00000000-0008-0000-0500-0000AF1A0000}"/>
              </a:ext>
            </a:extLst>
          </xdr:cNvPr>
          <xdr:cNvSpPr/>
        </xdr:nvSpPr>
        <xdr:spPr>
          <a:xfrm>
            <a:off x="1719356" y="34008544"/>
            <a:ext cx="203200" cy="203200"/>
          </a:xfrm>
          <a:prstGeom prst="ellipse">
            <a:avLst/>
          </a:prstGeom>
          <a:solidFill>
            <a:srgbClr val="FFFFFF">
              <a:alpha val="85000"/>
            </a:srgbClr>
          </a:solidFill>
          <a:ln w="15875">
            <a:solidFill>
              <a:srgbClr val="3C281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it-IT" sz="900" b="1">
                <a:solidFill>
                  <a:srgbClr val="281E14"/>
                </a:solidFill>
              </a:rPr>
              <a:t>2</a:t>
            </a:r>
          </a:p>
        </xdr:txBody>
      </xdr:sp>
    </xdr:grpSp>
    <xdr:clientData/>
  </xdr:twoCellAnchor>
  <xdr:twoCellAnchor>
    <xdr:from>
      <xdr:col>1</xdr:col>
      <xdr:colOff>317500</xdr:colOff>
      <xdr:row>138</xdr:row>
      <xdr:rowOff>109007</xdr:rowOff>
    </xdr:from>
    <xdr:to>
      <xdr:col>5</xdr:col>
      <xdr:colOff>158750</xdr:colOff>
      <xdr:row>138</xdr:row>
      <xdr:rowOff>1414993</xdr:rowOff>
    </xdr:to>
    <xdr:grpSp>
      <xdr:nvGrpSpPr>
        <xdr:cNvPr id="6868" name="VBA_Support_Report_Group">
          <a:extLst>
            <a:ext uri="{FF2B5EF4-FFF2-40B4-BE49-F238E27FC236}">
              <a16:creationId xmlns:a16="http://schemas.microsoft.com/office/drawing/2014/main" id="{00000000-0008-0000-0500-0000D41A0000}"/>
            </a:ext>
          </a:extLst>
        </xdr:cNvPr>
        <xdr:cNvGrpSpPr>
          <a:grpSpLocks noChangeAspect="1"/>
        </xdr:cNvGrpSpPr>
      </xdr:nvGrpSpPr>
      <xdr:grpSpPr>
        <a:xfrm>
          <a:off x="412750" y="37637507"/>
          <a:ext cx="2698750" cy="1305986"/>
          <a:chOff x="412750" y="37558132"/>
          <a:chExt cx="2698750" cy="1305986"/>
        </a:xfrm>
      </xdr:grpSpPr>
      <xdr:sp macro="" textlink="">
        <xdr:nvSpPr>
          <xdr:cNvPr id="6833" name="VBA_Support_Report_CLT_B_0_0">
            <a:extLst>
              <a:ext uri="{FF2B5EF4-FFF2-40B4-BE49-F238E27FC236}">
                <a16:creationId xmlns:a16="http://schemas.microsoft.com/office/drawing/2014/main" id="{00000000-0008-0000-0500-0000B11A0000}"/>
              </a:ext>
            </a:extLst>
          </xdr:cNvPr>
          <xdr:cNvSpPr/>
        </xdr:nvSpPr>
        <xdr:spPr>
          <a:xfrm>
            <a:off x="412750" y="37846000"/>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4" name="VBA_Support_Report_CLT_B_0_1">
            <a:extLst>
              <a:ext uri="{FF2B5EF4-FFF2-40B4-BE49-F238E27FC236}">
                <a16:creationId xmlns:a16="http://schemas.microsoft.com/office/drawing/2014/main" id="{00000000-0008-0000-0500-0000B21A0000}"/>
              </a:ext>
            </a:extLst>
          </xdr:cNvPr>
          <xdr:cNvSpPr/>
        </xdr:nvSpPr>
        <xdr:spPr>
          <a:xfrm>
            <a:off x="952500" y="37846000"/>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5" name="VBA_Support_Report_CLT_B_0_2">
            <a:extLst>
              <a:ext uri="{FF2B5EF4-FFF2-40B4-BE49-F238E27FC236}">
                <a16:creationId xmlns:a16="http://schemas.microsoft.com/office/drawing/2014/main" id="{00000000-0008-0000-0500-0000B31A0000}"/>
              </a:ext>
            </a:extLst>
          </xdr:cNvPr>
          <xdr:cNvSpPr/>
        </xdr:nvSpPr>
        <xdr:spPr>
          <a:xfrm>
            <a:off x="1492250" y="37846000"/>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6" name="VBA_Support_Report_CLT_B_0_3">
            <a:extLst>
              <a:ext uri="{FF2B5EF4-FFF2-40B4-BE49-F238E27FC236}">
                <a16:creationId xmlns:a16="http://schemas.microsoft.com/office/drawing/2014/main" id="{00000000-0008-0000-0500-0000B41A0000}"/>
              </a:ext>
            </a:extLst>
          </xdr:cNvPr>
          <xdr:cNvSpPr/>
        </xdr:nvSpPr>
        <xdr:spPr>
          <a:xfrm>
            <a:off x="2032000" y="37846000"/>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7" name="VBA_Support_Report_CLT_B_0_4">
            <a:extLst>
              <a:ext uri="{FF2B5EF4-FFF2-40B4-BE49-F238E27FC236}">
                <a16:creationId xmlns:a16="http://schemas.microsoft.com/office/drawing/2014/main" id="{00000000-0008-0000-0500-0000B51A0000}"/>
              </a:ext>
            </a:extLst>
          </xdr:cNvPr>
          <xdr:cNvSpPr/>
        </xdr:nvSpPr>
        <xdr:spPr>
          <a:xfrm>
            <a:off x="2571750" y="37846000"/>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8" name="VBA_Support_Report_CLT_C_1">
            <a:extLst>
              <a:ext uri="{FF2B5EF4-FFF2-40B4-BE49-F238E27FC236}">
                <a16:creationId xmlns:a16="http://schemas.microsoft.com/office/drawing/2014/main" id="{00000000-0008-0000-0500-0000B61A0000}"/>
              </a:ext>
            </a:extLst>
          </xdr:cNvPr>
          <xdr:cNvSpPr/>
        </xdr:nvSpPr>
        <xdr:spPr>
          <a:xfrm>
            <a:off x="412750" y="37980938"/>
            <a:ext cx="2698750" cy="89957"/>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39" name="VBA_Support_Report_CLT_B_2_0">
            <a:extLst>
              <a:ext uri="{FF2B5EF4-FFF2-40B4-BE49-F238E27FC236}">
                <a16:creationId xmlns:a16="http://schemas.microsoft.com/office/drawing/2014/main" id="{00000000-0008-0000-0500-0000B71A0000}"/>
              </a:ext>
            </a:extLst>
          </xdr:cNvPr>
          <xdr:cNvSpPr/>
        </xdr:nvSpPr>
        <xdr:spPr>
          <a:xfrm>
            <a:off x="412750" y="38070895"/>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40" name="VBA_Support_Report_CLT_B_2_1">
            <a:extLst>
              <a:ext uri="{FF2B5EF4-FFF2-40B4-BE49-F238E27FC236}">
                <a16:creationId xmlns:a16="http://schemas.microsoft.com/office/drawing/2014/main" id="{00000000-0008-0000-0500-0000B81A0000}"/>
              </a:ext>
            </a:extLst>
          </xdr:cNvPr>
          <xdr:cNvSpPr/>
        </xdr:nvSpPr>
        <xdr:spPr>
          <a:xfrm>
            <a:off x="952500" y="38070895"/>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41" name="VBA_Support_Report_CLT_B_2_2">
            <a:extLst>
              <a:ext uri="{FF2B5EF4-FFF2-40B4-BE49-F238E27FC236}">
                <a16:creationId xmlns:a16="http://schemas.microsoft.com/office/drawing/2014/main" id="{00000000-0008-0000-0500-0000B91A0000}"/>
              </a:ext>
            </a:extLst>
          </xdr:cNvPr>
          <xdr:cNvSpPr/>
        </xdr:nvSpPr>
        <xdr:spPr>
          <a:xfrm>
            <a:off x="1492250" y="38070895"/>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42" name="VBA_Support_Report_CLT_B_2_3">
            <a:extLst>
              <a:ext uri="{FF2B5EF4-FFF2-40B4-BE49-F238E27FC236}">
                <a16:creationId xmlns:a16="http://schemas.microsoft.com/office/drawing/2014/main" id="{00000000-0008-0000-0500-0000BA1A0000}"/>
              </a:ext>
            </a:extLst>
          </xdr:cNvPr>
          <xdr:cNvSpPr/>
        </xdr:nvSpPr>
        <xdr:spPr>
          <a:xfrm>
            <a:off x="2032000" y="38070895"/>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43" name="VBA_Support_Report_CLT_B_2_4">
            <a:extLst>
              <a:ext uri="{FF2B5EF4-FFF2-40B4-BE49-F238E27FC236}">
                <a16:creationId xmlns:a16="http://schemas.microsoft.com/office/drawing/2014/main" id="{00000000-0008-0000-0500-0000BB1A0000}"/>
              </a:ext>
            </a:extLst>
          </xdr:cNvPr>
          <xdr:cNvSpPr/>
        </xdr:nvSpPr>
        <xdr:spPr>
          <a:xfrm>
            <a:off x="2571750" y="38070895"/>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44" name="VBA_Support_Report_CLT_Sup">
            <a:extLst>
              <a:ext uri="{FF2B5EF4-FFF2-40B4-BE49-F238E27FC236}">
                <a16:creationId xmlns:a16="http://schemas.microsoft.com/office/drawing/2014/main" id="{00000000-0008-0000-0500-0000BC1A0000}"/>
              </a:ext>
            </a:extLst>
          </xdr:cNvPr>
          <xdr:cNvCxnSpPr/>
        </xdr:nvCxnSpPr>
        <xdr:spPr>
          <a:xfrm>
            <a:off x="412750" y="37846000"/>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6845" name="VBA_Support_Report_CLT_Inf">
            <a:extLst>
              <a:ext uri="{FF2B5EF4-FFF2-40B4-BE49-F238E27FC236}">
                <a16:creationId xmlns:a16="http://schemas.microsoft.com/office/drawing/2014/main" id="{00000000-0008-0000-0500-0000BD1A0000}"/>
              </a:ext>
            </a:extLst>
          </xdr:cNvPr>
          <xdr:cNvCxnSpPr/>
        </xdr:nvCxnSpPr>
        <xdr:spPr>
          <a:xfrm>
            <a:off x="412750" y="38205832"/>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6846" name="VBA_Support_Report_CLT_SX">
            <a:extLst>
              <a:ext uri="{FF2B5EF4-FFF2-40B4-BE49-F238E27FC236}">
                <a16:creationId xmlns:a16="http://schemas.microsoft.com/office/drawing/2014/main" id="{00000000-0008-0000-0500-0000BE1A0000}"/>
              </a:ext>
            </a:extLst>
          </xdr:cNvPr>
          <xdr:cNvCxnSpPr/>
        </xdr:nvCxnSpPr>
        <xdr:spPr>
          <a:xfrm>
            <a:off x="412750" y="37846000"/>
            <a:ext cx="0" cy="359832"/>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847" name="VBA_Support_Report_CLT_DX">
            <a:extLst>
              <a:ext uri="{FF2B5EF4-FFF2-40B4-BE49-F238E27FC236}">
                <a16:creationId xmlns:a16="http://schemas.microsoft.com/office/drawing/2014/main" id="{00000000-0008-0000-0500-0000BF1A0000}"/>
              </a:ext>
            </a:extLst>
          </xdr:cNvPr>
          <xdr:cNvCxnSpPr/>
        </xdr:nvCxnSpPr>
        <xdr:spPr>
          <a:xfrm>
            <a:off x="3111500" y="37846000"/>
            <a:ext cx="0" cy="359832"/>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48" name="VBA_Support_Report_Trave">
            <a:extLst>
              <a:ext uri="{FF2B5EF4-FFF2-40B4-BE49-F238E27FC236}">
                <a16:creationId xmlns:a16="http://schemas.microsoft.com/office/drawing/2014/main" id="{00000000-0008-0000-0500-0000C01A0000}"/>
              </a:ext>
            </a:extLst>
          </xdr:cNvPr>
          <xdr:cNvSpPr/>
        </xdr:nvSpPr>
        <xdr:spPr>
          <a:xfrm>
            <a:off x="1424781" y="38205832"/>
            <a:ext cx="674688" cy="467783"/>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51" name="VBA_Support_Report_GL_L_1">
            <a:extLst>
              <a:ext uri="{FF2B5EF4-FFF2-40B4-BE49-F238E27FC236}">
                <a16:creationId xmlns:a16="http://schemas.microsoft.com/office/drawing/2014/main" id="{00000000-0008-0000-0500-0000C31A0000}"/>
              </a:ext>
            </a:extLst>
          </xdr:cNvPr>
          <xdr:cNvCxnSpPr/>
        </xdr:nvCxnSpPr>
        <xdr:spPr>
          <a:xfrm>
            <a:off x="1424781" y="38439725"/>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52" name="VBA_Support_Report_Bordo_SX">
            <a:extLst>
              <a:ext uri="{FF2B5EF4-FFF2-40B4-BE49-F238E27FC236}">
                <a16:creationId xmlns:a16="http://schemas.microsoft.com/office/drawing/2014/main" id="{00000000-0008-0000-0500-0000C41A0000}"/>
              </a:ext>
            </a:extLst>
          </xdr:cNvPr>
          <xdr:cNvCxnSpPr/>
        </xdr:nvCxnSpPr>
        <xdr:spPr>
          <a:xfrm>
            <a:off x="1424781" y="38205832"/>
            <a:ext cx="0" cy="467786"/>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6853" name="VBA_Support_Report_Bordo_DX">
            <a:extLst>
              <a:ext uri="{FF2B5EF4-FFF2-40B4-BE49-F238E27FC236}">
                <a16:creationId xmlns:a16="http://schemas.microsoft.com/office/drawing/2014/main" id="{00000000-0008-0000-0500-0000C51A0000}"/>
              </a:ext>
            </a:extLst>
          </xdr:cNvPr>
          <xdr:cNvCxnSpPr/>
        </xdr:nvCxnSpPr>
        <xdr:spPr>
          <a:xfrm>
            <a:off x="2099469" y="38205832"/>
            <a:ext cx="0" cy="467786"/>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6854" name="VBA_Support_Report_Bordo_Sup">
            <a:extLst>
              <a:ext uri="{FF2B5EF4-FFF2-40B4-BE49-F238E27FC236}">
                <a16:creationId xmlns:a16="http://schemas.microsoft.com/office/drawing/2014/main" id="{00000000-0008-0000-0500-0000C61A0000}"/>
              </a:ext>
            </a:extLst>
          </xdr:cNvPr>
          <xdr:cNvCxnSpPr/>
        </xdr:nvCxnSpPr>
        <xdr:spPr>
          <a:xfrm>
            <a:off x="1424781" y="38205832"/>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6855" name="VBA_Support_Report_BordoTaglio">
            <a:extLst>
              <a:ext uri="{FF2B5EF4-FFF2-40B4-BE49-F238E27FC236}">
                <a16:creationId xmlns:a16="http://schemas.microsoft.com/office/drawing/2014/main" id="{00000000-0008-0000-0500-0000C71A0000}"/>
              </a:ext>
            </a:extLst>
          </xdr:cNvPr>
          <xdr:cNvCxnSpPr/>
        </xdr:nvCxnSpPr>
        <xdr:spPr>
          <a:xfrm>
            <a:off x="1424781" y="38673618"/>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56" name="VBA_Support_Report_SharpMetal_1">
            <a:extLst>
              <a:ext uri="{FF2B5EF4-FFF2-40B4-BE49-F238E27FC236}">
                <a16:creationId xmlns:a16="http://schemas.microsoft.com/office/drawing/2014/main" id="{00000000-0008-0000-0500-0000C81A0000}"/>
              </a:ext>
            </a:extLst>
          </xdr:cNvPr>
          <xdr:cNvSpPr/>
        </xdr:nvSpPr>
        <xdr:spPr>
          <a:xfrm>
            <a:off x="1537229" y="38187843"/>
            <a:ext cx="224896" cy="35982"/>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57" name="VBA_Support_Report_ViteTBS_1">
            <a:extLst>
              <a:ext uri="{FF2B5EF4-FFF2-40B4-BE49-F238E27FC236}">
                <a16:creationId xmlns:a16="http://schemas.microsoft.com/office/drawing/2014/main" id="{00000000-0008-0000-0500-0000C91A0000}"/>
              </a:ext>
            </a:extLst>
          </xdr:cNvPr>
          <xdr:cNvCxnSpPr/>
        </xdr:nvCxnSpPr>
        <xdr:spPr>
          <a:xfrm>
            <a:off x="1649677" y="37846000"/>
            <a:ext cx="0" cy="782638"/>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6858" name="VBA_Support_Report_TestaTBS_1">
            <a:extLst>
              <a:ext uri="{FF2B5EF4-FFF2-40B4-BE49-F238E27FC236}">
                <a16:creationId xmlns:a16="http://schemas.microsoft.com/office/drawing/2014/main" id="{00000000-0008-0000-0500-0000CA1A0000}"/>
              </a:ext>
            </a:extLst>
          </xdr:cNvPr>
          <xdr:cNvCxnSpPr/>
        </xdr:nvCxnSpPr>
        <xdr:spPr>
          <a:xfrm>
            <a:off x="1622690" y="37846000"/>
            <a:ext cx="53975"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sp macro="" textlink="">
        <xdr:nvSpPr>
          <xdr:cNvPr id="6859" name="VBA_Support_Report_SharpMetal_2">
            <a:extLst>
              <a:ext uri="{FF2B5EF4-FFF2-40B4-BE49-F238E27FC236}">
                <a16:creationId xmlns:a16="http://schemas.microsoft.com/office/drawing/2014/main" id="{00000000-0008-0000-0500-0000CB1A0000}"/>
              </a:ext>
            </a:extLst>
          </xdr:cNvPr>
          <xdr:cNvSpPr/>
        </xdr:nvSpPr>
        <xdr:spPr>
          <a:xfrm>
            <a:off x="1762125" y="38187843"/>
            <a:ext cx="224896" cy="35982"/>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60" name="VBA_Support_Report_ViteTBS_2">
            <a:extLst>
              <a:ext uri="{FF2B5EF4-FFF2-40B4-BE49-F238E27FC236}">
                <a16:creationId xmlns:a16="http://schemas.microsoft.com/office/drawing/2014/main" id="{00000000-0008-0000-0500-0000CC1A0000}"/>
              </a:ext>
            </a:extLst>
          </xdr:cNvPr>
          <xdr:cNvCxnSpPr/>
        </xdr:nvCxnSpPr>
        <xdr:spPr>
          <a:xfrm>
            <a:off x="1874573" y="37846000"/>
            <a:ext cx="0" cy="782638"/>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6861" name="VBA_Support_Report_TestaTBS_2">
            <a:extLst>
              <a:ext uri="{FF2B5EF4-FFF2-40B4-BE49-F238E27FC236}">
                <a16:creationId xmlns:a16="http://schemas.microsoft.com/office/drawing/2014/main" id="{00000000-0008-0000-0500-0000CD1A0000}"/>
              </a:ext>
            </a:extLst>
          </xdr:cNvPr>
          <xdr:cNvCxnSpPr/>
        </xdr:nvCxnSpPr>
        <xdr:spPr>
          <a:xfrm>
            <a:off x="1847585" y="37846000"/>
            <a:ext cx="53975"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6862" name="VBA_Support_Report_QLine_27">
            <a:extLst>
              <a:ext uri="{FF2B5EF4-FFF2-40B4-BE49-F238E27FC236}">
                <a16:creationId xmlns:a16="http://schemas.microsoft.com/office/drawing/2014/main" id="{00000000-0008-0000-0500-0000CE1A0000}"/>
              </a:ext>
            </a:extLst>
          </xdr:cNvPr>
          <xdr:cNvCxnSpPr/>
        </xdr:nvCxnSpPr>
        <xdr:spPr>
          <a:xfrm>
            <a:off x="1537229" y="38096825"/>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63" name="VBA_Support_Report_QText_28">
            <a:extLst>
              <a:ext uri="{FF2B5EF4-FFF2-40B4-BE49-F238E27FC236}">
                <a16:creationId xmlns:a16="http://schemas.microsoft.com/office/drawing/2014/main" id="{00000000-0008-0000-0500-0000CF1A0000}"/>
              </a:ext>
            </a:extLst>
          </xdr:cNvPr>
          <xdr:cNvSpPr txBox="1"/>
        </xdr:nvSpPr>
        <xdr:spPr>
          <a:xfrm>
            <a:off x="1300427" y="37944425"/>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6864" name="VBA_Support_Report_QLine_29">
            <a:extLst>
              <a:ext uri="{FF2B5EF4-FFF2-40B4-BE49-F238E27FC236}">
                <a16:creationId xmlns:a16="http://schemas.microsoft.com/office/drawing/2014/main" id="{00000000-0008-0000-0500-0000D01A0000}"/>
              </a:ext>
            </a:extLst>
          </xdr:cNvPr>
          <xdr:cNvCxnSpPr/>
        </xdr:nvCxnSpPr>
        <xdr:spPr>
          <a:xfrm>
            <a:off x="1987021" y="37710532"/>
            <a:ext cx="112448"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65" name="VBA_Support_Report_QText_30">
            <a:extLst>
              <a:ext uri="{FF2B5EF4-FFF2-40B4-BE49-F238E27FC236}">
                <a16:creationId xmlns:a16="http://schemas.microsoft.com/office/drawing/2014/main" id="{00000000-0008-0000-0500-0000D11A0000}"/>
              </a:ext>
            </a:extLst>
          </xdr:cNvPr>
          <xdr:cNvSpPr txBox="1"/>
        </xdr:nvSpPr>
        <xdr:spPr>
          <a:xfrm>
            <a:off x="1693995" y="37558132"/>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25 mm</a:t>
            </a:r>
          </a:p>
        </xdr:txBody>
      </xdr:sp>
      <xdr:cxnSp macro="">
        <xdr:nvCxnSpPr>
          <xdr:cNvPr id="6866" name="VBA_Support_Report_QLine_31">
            <a:extLst>
              <a:ext uri="{FF2B5EF4-FFF2-40B4-BE49-F238E27FC236}">
                <a16:creationId xmlns:a16="http://schemas.microsoft.com/office/drawing/2014/main" id="{00000000-0008-0000-0500-0000D21A0000}"/>
              </a:ext>
            </a:extLst>
          </xdr:cNvPr>
          <xdr:cNvCxnSpPr/>
        </xdr:nvCxnSpPr>
        <xdr:spPr>
          <a:xfrm>
            <a:off x="1424781" y="38864118"/>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67" name="VBA_Support_Report_QText_32">
            <a:extLst>
              <a:ext uri="{FF2B5EF4-FFF2-40B4-BE49-F238E27FC236}">
                <a16:creationId xmlns:a16="http://schemas.microsoft.com/office/drawing/2014/main" id="{00000000-0008-0000-0500-0000D31A0000}"/>
              </a:ext>
            </a:extLst>
          </xdr:cNvPr>
          <xdr:cNvSpPr txBox="1"/>
        </xdr:nvSpPr>
        <xdr:spPr>
          <a:xfrm>
            <a:off x="1187979" y="38711718"/>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50 mm</a:t>
            </a:r>
          </a:p>
        </xdr:txBody>
      </xdr:sp>
    </xdr:grpSp>
    <xdr:clientData/>
  </xdr:twoCellAnchor>
  <xdr:twoCellAnchor>
    <xdr:from>
      <xdr:col>7</xdr:col>
      <xdr:colOff>317500</xdr:colOff>
      <xdr:row>138</xdr:row>
      <xdr:rowOff>109007</xdr:rowOff>
    </xdr:from>
    <xdr:to>
      <xdr:col>11</xdr:col>
      <xdr:colOff>158750</xdr:colOff>
      <xdr:row>138</xdr:row>
      <xdr:rowOff>1414993</xdr:rowOff>
    </xdr:to>
    <xdr:grpSp>
      <xdr:nvGrpSpPr>
        <xdr:cNvPr id="6899" name="VBA_Midspan_Report_Group">
          <a:extLst>
            <a:ext uri="{FF2B5EF4-FFF2-40B4-BE49-F238E27FC236}">
              <a16:creationId xmlns:a16="http://schemas.microsoft.com/office/drawing/2014/main" id="{00000000-0008-0000-0500-0000F31A0000}"/>
            </a:ext>
          </a:extLst>
        </xdr:cNvPr>
        <xdr:cNvGrpSpPr>
          <a:grpSpLocks noChangeAspect="1"/>
        </xdr:cNvGrpSpPr>
      </xdr:nvGrpSpPr>
      <xdr:grpSpPr>
        <a:xfrm>
          <a:off x="4127500" y="37637507"/>
          <a:ext cx="2698750" cy="1305986"/>
          <a:chOff x="4127500" y="37558132"/>
          <a:chExt cx="2698750" cy="1305986"/>
        </a:xfrm>
      </xdr:grpSpPr>
      <xdr:sp macro="" textlink="">
        <xdr:nvSpPr>
          <xdr:cNvPr id="6869" name="VBA_Midspan_Report_CLT_B_0_0">
            <a:extLst>
              <a:ext uri="{FF2B5EF4-FFF2-40B4-BE49-F238E27FC236}">
                <a16:creationId xmlns:a16="http://schemas.microsoft.com/office/drawing/2014/main" id="{00000000-0008-0000-0500-0000D51A0000}"/>
              </a:ext>
            </a:extLst>
          </xdr:cNvPr>
          <xdr:cNvSpPr/>
        </xdr:nvSpPr>
        <xdr:spPr>
          <a:xfrm>
            <a:off x="4127500" y="37846000"/>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0" name="VBA_Midspan_Report_CLT_B_0_1">
            <a:extLst>
              <a:ext uri="{FF2B5EF4-FFF2-40B4-BE49-F238E27FC236}">
                <a16:creationId xmlns:a16="http://schemas.microsoft.com/office/drawing/2014/main" id="{00000000-0008-0000-0500-0000D61A0000}"/>
              </a:ext>
            </a:extLst>
          </xdr:cNvPr>
          <xdr:cNvSpPr/>
        </xdr:nvSpPr>
        <xdr:spPr>
          <a:xfrm>
            <a:off x="4667250" y="37846000"/>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1" name="VBA_Midspan_Report_CLT_B_0_2">
            <a:extLst>
              <a:ext uri="{FF2B5EF4-FFF2-40B4-BE49-F238E27FC236}">
                <a16:creationId xmlns:a16="http://schemas.microsoft.com/office/drawing/2014/main" id="{00000000-0008-0000-0500-0000D71A0000}"/>
              </a:ext>
            </a:extLst>
          </xdr:cNvPr>
          <xdr:cNvSpPr/>
        </xdr:nvSpPr>
        <xdr:spPr>
          <a:xfrm>
            <a:off x="5207000" y="37846000"/>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2" name="VBA_Midspan_Report_CLT_B_0_3">
            <a:extLst>
              <a:ext uri="{FF2B5EF4-FFF2-40B4-BE49-F238E27FC236}">
                <a16:creationId xmlns:a16="http://schemas.microsoft.com/office/drawing/2014/main" id="{00000000-0008-0000-0500-0000D81A0000}"/>
              </a:ext>
            </a:extLst>
          </xdr:cNvPr>
          <xdr:cNvSpPr/>
        </xdr:nvSpPr>
        <xdr:spPr>
          <a:xfrm>
            <a:off x="5746750" y="37846000"/>
            <a:ext cx="539750" cy="134938"/>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3" name="VBA_Midspan_Report_CLT_B_0_4">
            <a:extLst>
              <a:ext uri="{FF2B5EF4-FFF2-40B4-BE49-F238E27FC236}">
                <a16:creationId xmlns:a16="http://schemas.microsoft.com/office/drawing/2014/main" id="{00000000-0008-0000-0500-0000D91A0000}"/>
              </a:ext>
            </a:extLst>
          </xdr:cNvPr>
          <xdr:cNvSpPr/>
        </xdr:nvSpPr>
        <xdr:spPr>
          <a:xfrm>
            <a:off x="6286500" y="37846000"/>
            <a:ext cx="539750" cy="134938"/>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4" name="VBA_Midspan_Report_CLT_C_1">
            <a:extLst>
              <a:ext uri="{FF2B5EF4-FFF2-40B4-BE49-F238E27FC236}">
                <a16:creationId xmlns:a16="http://schemas.microsoft.com/office/drawing/2014/main" id="{00000000-0008-0000-0500-0000DA1A0000}"/>
              </a:ext>
            </a:extLst>
          </xdr:cNvPr>
          <xdr:cNvSpPr/>
        </xdr:nvSpPr>
        <xdr:spPr>
          <a:xfrm>
            <a:off x="4127500" y="37980938"/>
            <a:ext cx="2698750" cy="89957"/>
          </a:xfrm>
          <a:prstGeom prst="rect">
            <a:avLst/>
          </a:prstGeom>
          <a:solidFill>
            <a:srgbClr val="EECBA1"/>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5" name="VBA_Midspan_Report_CLT_B_2_0">
            <a:extLst>
              <a:ext uri="{FF2B5EF4-FFF2-40B4-BE49-F238E27FC236}">
                <a16:creationId xmlns:a16="http://schemas.microsoft.com/office/drawing/2014/main" id="{00000000-0008-0000-0500-0000DB1A0000}"/>
              </a:ext>
            </a:extLst>
          </xdr:cNvPr>
          <xdr:cNvSpPr/>
        </xdr:nvSpPr>
        <xdr:spPr>
          <a:xfrm>
            <a:off x="4127500" y="38070895"/>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6" name="VBA_Midspan_Report_CLT_B_2_1">
            <a:extLst>
              <a:ext uri="{FF2B5EF4-FFF2-40B4-BE49-F238E27FC236}">
                <a16:creationId xmlns:a16="http://schemas.microsoft.com/office/drawing/2014/main" id="{00000000-0008-0000-0500-0000DC1A0000}"/>
              </a:ext>
            </a:extLst>
          </xdr:cNvPr>
          <xdr:cNvSpPr/>
        </xdr:nvSpPr>
        <xdr:spPr>
          <a:xfrm>
            <a:off x="4667250" y="38070895"/>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7" name="VBA_Midspan_Report_CLT_B_2_2">
            <a:extLst>
              <a:ext uri="{FF2B5EF4-FFF2-40B4-BE49-F238E27FC236}">
                <a16:creationId xmlns:a16="http://schemas.microsoft.com/office/drawing/2014/main" id="{00000000-0008-0000-0500-0000DD1A0000}"/>
              </a:ext>
            </a:extLst>
          </xdr:cNvPr>
          <xdr:cNvSpPr/>
        </xdr:nvSpPr>
        <xdr:spPr>
          <a:xfrm>
            <a:off x="5207000" y="38070895"/>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8" name="VBA_Midspan_Report_CLT_B_2_3">
            <a:extLst>
              <a:ext uri="{FF2B5EF4-FFF2-40B4-BE49-F238E27FC236}">
                <a16:creationId xmlns:a16="http://schemas.microsoft.com/office/drawing/2014/main" id="{00000000-0008-0000-0500-0000DE1A0000}"/>
              </a:ext>
            </a:extLst>
          </xdr:cNvPr>
          <xdr:cNvSpPr/>
        </xdr:nvSpPr>
        <xdr:spPr>
          <a:xfrm>
            <a:off x="5746750" y="38070895"/>
            <a:ext cx="539750" cy="134937"/>
          </a:xfrm>
          <a:prstGeom prst="rect">
            <a:avLst/>
          </a:prstGeom>
          <a:solidFill>
            <a:srgbClr val="CDA36E"/>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879" name="VBA_Midspan_Report_CLT_B_2_4">
            <a:extLst>
              <a:ext uri="{FF2B5EF4-FFF2-40B4-BE49-F238E27FC236}">
                <a16:creationId xmlns:a16="http://schemas.microsoft.com/office/drawing/2014/main" id="{00000000-0008-0000-0500-0000DF1A0000}"/>
              </a:ext>
            </a:extLst>
          </xdr:cNvPr>
          <xdr:cNvSpPr/>
        </xdr:nvSpPr>
        <xdr:spPr>
          <a:xfrm>
            <a:off x="6286500" y="38070895"/>
            <a:ext cx="539750" cy="134937"/>
          </a:xfrm>
          <a:prstGeom prst="rect">
            <a:avLst/>
          </a:prstGeom>
          <a:solidFill>
            <a:srgbClr val="DEB887"/>
          </a:solidFill>
          <a:ln w="9525">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80" name="VBA_Midspan_Report_CLT_Sup">
            <a:extLst>
              <a:ext uri="{FF2B5EF4-FFF2-40B4-BE49-F238E27FC236}">
                <a16:creationId xmlns:a16="http://schemas.microsoft.com/office/drawing/2014/main" id="{00000000-0008-0000-0500-0000E01A0000}"/>
              </a:ext>
            </a:extLst>
          </xdr:cNvPr>
          <xdr:cNvCxnSpPr/>
        </xdr:nvCxnSpPr>
        <xdr:spPr>
          <a:xfrm>
            <a:off x="4127500" y="37846000"/>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6881" name="VBA_Midspan_Report_CLT_Inf">
            <a:extLst>
              <a:ext uri="{FF2B5EF4-FFF2-40B4-BE49-F238E27FC236}">
                <a16:creationId xmlns:a16="http://schemas.microsoft.com/office/drawing/2014/main" id="{00000000-0008-0000-0500-0000E11A0000}"/>
              </a:ext>
            </a:extLst>
          </xdr:cNvPr>
          <xdr:cNvCxnSpPr/>
        </xdr:nvCxnSpPr>
        <xdr:spPr>
          <a:xfrm>
            <a:off x="4127500" y="38205832"/>
            <a:ext cx="2698750" cy="0"/>
          </a:xfrm>
          <a:prstGeom prst="line">
            <a:avLst/>
          </a:prstGeom>
          <a:ln w="15875">
            <a:solidFill>
              <a:srgbClr val="503C28"/>
            </a:solidFill>
          </a:ln>
        </xdr:spPr>
        <xdr:style>
          <a:lnRef idx="1">
            <a:schemeClr val="accent1"/>
          </a:lnRef>
          <a:fillRef idx="0">
            <a:schemeClr val="accent1"/>
          </a:fillRef>
          <a:effectRef idx="0">
            <a:schemeClr val="accent1"/>
          </a:effectRef>
          <a:fontRef idx="minor">
            <a:schemeClr val="tx1"/>
          </a:fontRef>
        </xdr:style>
      </xdr:cxnSp>
      <xdr:cxnSp macro="">
        <xdr:nvCxnSpPr>
          <xdr:cNvPr id="6882" name="VBA_Midspan_Report_CLT_SX">
            <a:extLst>
              <a:ext uri="{FF2B5EF4-FFF2-40B4-BE49-F238E27FC236}">
                <a16:creationId xmlns:a16="http://schemas.microsoft.com/office/drawing/2014/main" id="{00000000-0008-0000-0500-0000E21A0000}"/>
              </a:ext>
            </a:extLst>
          </xdr:cNvPr>
          <xdr:cNvCxnSpPr/>
        </xdr:nvCxnSpPr>
        <xdr:spPr>
          <a:xfrm>
            <a:off x="4127500" y="37846000"/>
            <a:ext cx="0" cy="359832"/>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883" name="VBA_Midspan_Report_CLT_DX">
            <a:extLst>
              <a:ext uri="{FF2B5EF4-FFF2-40B4-BE49-F238E27FC236}">
                <a16:creationId xmlns:a16="http://schemas.microsoft.com/office/drawing/2014/main" id="{00000000-0008-0000-0500-0000E31A0000}"/>
              </a:ext>
            </a:extLst>
          </xdr:cNvPr>
          <xdr:cNvCxnSpPr/>
        </xdr:nvCxnSpPr>
        <xdr:spPr>
          <a:xfrm>
            <a:off x="6826250" y="37846000"/>
            <a:ext cx="0" cy="359832"/>
          </a:xfrm>
          <a:prstGeom prst="line">
            <a:avLst/>
          </a:prstGeom>
          <a:ln w="15875">
            <a:solidFill>
              <a:srgbClr val="503C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84" name="VBA_Midspan_Report_Trave">
            <a:extLst>
              <a:ext uri="{FF2B5EF4-FFF2-40B4-BE49-F238E27FC236}">
                <a16:creationId xmlns:a16="http://schemas.microsoft.com/office/drawing/2014/main" id="{00000000-0008-0000-0500-0000E41A0000}"/>
              </a:ext>
            </a:extLst>
          </xdr:cNvPr>
          <xdr:cNvSpPr/>
        </xdr:nvSpPr>
        <xdr:spPr>
          <a:xfrm>
            <a:off x="5139531" y="38205832"/>
            <a:ext cx="674688" cy="467783"/>
          </a:xfrm>
          <a:prstGeom prst="rect">
            <a:avLst/>
          </a:prstGeom>
          <a:solidFill>
            <a:srgbClr val="C49A6C"/>
          </a:solidFill>
          <a:ln w="15875" cap="flat" cmpd="sng" algn="ctr">
            <a:noFill/>
            <a:prstDash val="solid"/>
          </a:ln>
          <a:effectLst/>
          <a:extLst>
            <a:ext uri="{91240B29-F687-4F45-9708-019B960494DF}">
              <a14:hiddenLine xmlns:a14="http://schemas.microsoft.com/office/drawing/2010/main" w="15875" cap="flat" cmpd="sng" algn="ctr">
                <a:solidFill>
                  <a:srgbClr val="785A3C"/>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85" name="VBA_Midspan_Report_GL_L_1">
            <a:extLst>
              <a:ext uri="{FF2B5EF4-FFF2-40B4-BE49-F238E27FC236}">
                <a16:creationId xmlns:a16="http://schemas.microsoft.com/office/drawing/2014/main" id="{00000000-0008-0000-0500-0000E51A0000}"/>
              </a:ext>
            </a:extLst>
          </xdr:cNvPr>
          <xdr:cNvCxnSpPr/>
        </xdr:nvCxnSpPr>
        <xdr:spPr>
          <a:xfrm>
            <a:off x="5139531" y="38439725"/>
            <a:ext cx="674688" cy="0"/>
          </a:xfrm>
          <a:prstGeom prst="line">
            <a:avLst/>
          </a:prstGeom>
          <a:ln w="6350">
            <a:solidFill>
              <a:srgbClr val="8C6946"/>
            </a:solidFill>
          </a:ln>
        </xdr:spPr>
        <xdr:style>
          <a:lnRef idx="1">
            <a:schemeClr val="accent1"/>
          </a:lnRef>
          <a:fillRef idx="0">
            <a:schemeClr val="accent1"/>
          </a:fillRef>
          <a:effectRef idx="0">
            <a:schemeClr val="accent1"/>
          </a:effectRef>
          <a:fontRef idx="minor">
            <a:schemeClr val="tx1"/>
          </a:fontRef>
        </xdr:style>
      </xdr:cxnSp>
      <xdr:cxnSp macro="">
        <xdr:nvCxnSpPr>
          <xdr:cNvPr id="6886" name="VBA_Midspan_Report_Bordo_SX">
            <a:extLst>
              <a:ext uri="{FF2B5EF4-FFF2-40B4-BE49-F238E27FC236}">
                <a16:creationId xmlns:a16="http://schemas.microsoft.com/office/drawing/2014/main" id="{00000000-0008-0000-0500-0000E61A0000}"/>
              </a:ext>
            </a:extLst>
          </xdr:cNvPr>
          <xdr:cNvCxnSpPr/>
        </xdr:nvCxnSpPr>
        <xdr:spPr>
          <a:xfrm>
            <a:off x="5139531" y="38205832"/>
            <a:ext cx="0" cy="467786"/>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6887" name="VBA_Midspan_Report_Bordo_DX">
            <a:extLst>
              <a:ext uri="{FF2B5EF4-FFF2-40B4-BE49-F238E27FC236}">
                <a16:creationId xmlns:a16="http://schemas.microsoft.com/office/drawing/2014/main" id="{00000000-0008-0000-0500-0000E71A0000}"/>
              </a:ext>
            </a:extLst>
          </xdr:cNvPr>
          <xdr:cNvCxnSpPr/>
        </xdr:nvCxnSpPr>
        <xdr:spPr>
          <a:xfrm>
            <a:off x="5814219" y="38205832"/>
            <a:ext cx="0" cy="467786"/>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6888" name="VBA_Midspan_Report_Bordo_Sup">
            <a:extLst>
              <a:ext uri="{FF2B5EF4-FFF2-40B4-BE49-F238E27FC236}">
                <a16:creationId xmlns:a16="http://schemas.microsoft.com/office/drawing/2014/main" id="{00000000-0008-0000-0500-0000E81A0000}"/>
              </a:ext>
            </a:extLst>
          </xdr:cNvPr>
          <xdr:cNvCxnSpPr/>
        </xdr:nvCxnSpPr>
        <xdr:spPr>
          <a:xfrm>
            <a:off x="5139531" y="38205832"/>
            <a:ext cx="674688" cy="0"/>
          </a:xfrm>
          <a:prstGeom prst="line">
            <a:avLst/>
          </a:prstGeom>
          <a:ln w="15875">
            <a:solidFill>
              <a:srgbClr val="785A3C"/>
            </a:solidFill>
          </a:ln>
        </xdr:spPr>
        <xdr:style>
          <a:lnRef idx="1">
            <a:schemeClr val="accent1"/>
          </a:lnRef>
          <a:fillRef idx="0">
            <a:schemeClr val="accent1"/>
          </a:fillRef>
          <a:effectRef idx="0">
            <a:schemeClr val="accent1"/>
          </a:effectRef>
          <a:fontRef idx="minor">
            <a:schemeClr val="tx1"/>
          </a:fontRef>
        </xdr:style>
      </xdr:cxnSp>
      <xdr:cxnSp macro="">
        <xdr:nvCxnSpPr>
          <xdr:cNvPr id="6889" name="VBA_Midspan_Report_BordoTaglio">
            <a:extLst>
              <a:ext uri="{FF2B5EF4-FFF2-40B4-BE49-F238E27FC236}">
                <a16:creationId xmlns:a16="http://schemas.microsoft.com/office/drawing/2014/main" id="{00000000-0008-0000-0500-0000E91A0000}"/>
              </a:ext>
            </a:extLst>
          </xdr:cNvPr>
          <xdr:cNvCxnSpPr/>
        </xdr:nvCxnSpPr>
        <xdr:spPr>
          <a:xfrm>
            <a:off x="5139531" y="38673618"/>
            <a:ext cx="674688" cy="0"/>
          </a:xfrm>
          <a:prstGeom prst="line">
            <a:avLst/>
          </a:prstGeom>
          <a:ln w="15875">
            <a:solidFill>
              <a:srgbClr val="785A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890" name="VBA_Midspan_Report_SharpMetal_1">
            <a:extLst>
              <a:ext uri="{FF2B5EF4-FFF2-40B4-BE49-F238E27FC236}">
                <a16:creationId xmlns:a16="http://schemas.microsoft.com/office/drawing/2014/main" id="{00000000-0008-0000-0500-0000EA1A0000}"/>
              </a:ext>
            </a:extLst>
          </xdr:cNvPr>
          <xdr:cNvSpPr/>
        </xdr:nvSpPr>
        <xdr:spPr>
          <a:xfrm>
            <a:off x="5364427" y="38187843"/>
            <a:ext cx="224896" cy="35982"/>
          </a:xfrm>
          <a:prstGeom prst="rect">
            <a:avLst/>
          </a:prstGeom>
          <a:solidFill>
            <a:srgbClr val="828C96"/>
          </a:solidFill>
          <a:ln w="12700">
            <a:solidFill>
              <a:srgbClr val="3237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891" name="VBA_Midspan_Report_ViteTBS_1">
            <a:extLst>
              <a:ext uri="{FF2B5EF4-FFF2-40B4-BE49-F238E27FC236}">
                <a16:creationId xmlns:a16="http://schemas.microsoft.com/office/drawing/2014/main" id="{00000000-0008-0000-0500-0000EB1A0000}"/>
              </a:ext>
            </a:extLst>
          </xdr:cNvPr>
          <xdr:cNvCxnSpPr/>
        </xdr:nvCxnSpPr>
        <xdr:spPr>
          <a:xfrm>
            <a:off x="5476875" y="37846000"/>
            <a:ext cx="0" cy="782638"/>
          </a:xfrm>
          <a:prstGeom prst="line">
            <a:avLst/>
          </a:prstGeom>
          <a:ln w="254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6892" name="VBA_Midspan_Report_TestaTBS_1">
            <a:extLst>
              <a:ext uri="{FF2B5EF4-FFF2-40B4-BE49-F238E27FC236}">
                <a16:creationId xmlns:a16="http://schemas.microsoft.com/office/drawing/2014/main" id="{00000000-0008-0000-0500-0000EC1A0000}"/>
              </a:ext>
            </a:extLst>
          </xdr:cNvPr>
          <xdr:cNvCxnSpPr/>
        </xdr:nvCxnSpPr>
        <xdr:spPr>
          <a:xfrm>
            <a:off x="5449888" y="37846000"/>
            <a:ext cx="53975" cy="0"/>
          </a:xfrm>
          <a:prstGeom prst="line">
            <a:avLst/>
          </a:prstGeom>
          <a:ln w="38100">
            <a:solidFill>
              <a:srgbClr val="000000"/>
            </a:solidFill>
          </a:ln>
        </xdr:spPr>
        <xdr:style>
          <a:lnRef idx="1">
            <a:schemeClr val="accent1"/>
          </a:lnRef>
          <a:fillRef idx="0">
            <a:schemeClr val="accent1"/>
          </a:fillRef>
          <a:effectRef idx="0">
            <a:schemeClr val="accent1"/>
          </a:effectRef>
          <a:fontRef idx="minor">
            <a:schemeClr val="tx1"/>
          </a:fontRef>
        </xdr:style>
      </xdr:cxnSp>
      <xdr:cxnSp macro="">
        <xdr:nvCxnSpPr>
          <xdr:cNvPr id="6893" name="VBA_Midspan_Report_QLine_24">
            <a:extLst>
              <a:ext uri="{FF2B5EF4-FFF2-40B4-BE49-F238E27FC236}">
                <a16:creationId xmlns:a16="http://schemas.microsoft.com/office/drawing/2014/main" id="{00000000-0008-0000-0500-0000ED1A0000}"/>
              </a:ext>
            </a:extLst>
          </xdr:cNvPr>
          <xdr:cNvCxnSpPr/>
        </xdr:nvCxnSpPr>
        <xdr:spPr>
          <a:xfrm>
            <a:off x="5364427" y="38096825"/>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94" name="VBA_Midspan_Report_QText_25">
            <a:extLst>
              <a:ext uri="{FF2B5EF4-FFF2-40B4-BE49-F238E27FC236}">
                <a16:creationId xmlns:a16="http://schemas.microsoft.com/office/drawing/2014/main" id="{00000000-0008-0000-0500-0000EE1A0000}"/>
              </a:ext>
            </a:extLst>
          </xdr:cNvPr>
          <xdr:cNvSpPr txBox="1"/>
        </xdr:nvSpPr>
        <xdr:spPr>
          <a:xfrm>
            <a:off x="5127625" y="37944425"/>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50 mm</a:t>
            </a:r>
          </a:p>
        </xdr:txBody>
      </xdr:sp>
      <xdr:cxnSp macro="">
        <xdr:nvCxnSpPr>
          <xdr:cNvPr id="6895" name="VBA_Midspan_Report_QLine_26">
            <a:extLst>
              <a:ext uri="{FF2B5EF4-FFF2-40B4-BE49-F238E27FC236}">
                <a16:creationId xmlns:a16="http://schemas.microsoft.com/office/drawing/2014/main" id="{00000000-0008-0000-0500-0000EF1A0000}"/>
              </a:ext>
            </a:extLst>
          </xdr:cNvPr>
          <xdr:cNvCxnSpPr/>
        </xdr:nvCxnSpPr>
        <xdr:spPr>
          <a:xfrm>
            <a:off x="5589323" y="37710532"/>
            <a:ext cx="224896"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96" name="VBA_Midspan_Report_QText_27">
            <a:extLst>
              <a:ext uri="{FF2B5EF4-FFF2-40B4-BE49-F238E27FC236}">
                <a16:creationId xmlns:a16="http://schemas.microsoft.com/office/drawing/2014/main" id="{00000000-0008-0000-0500-0000F01A0000}"/>
              </a:ext>
            </a:extLst>
          </xdr:cNvPr>
          <xdr:cNvSpPr txBox="1"/>
        </xdr:nvSpPr>
        <xdr:spPr>
          <a:xfrm>
            <a:off x="5352521" y="37558132"/>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e = 25 mm</a:t>
            </a:r>
          </a:p>
        </xdr:txBody>
      </xdr:sp>
      <xdr:cxnSp macro="">
        <xdr:nvCxnSpPr>
          <xdr:cNvPr id="6897" name="VBA_Midspan_Report_QLine_28">
            <a:extLst>
              <a:ext uri="{FF2B5EF4-FFF2-40B4-BE49-F238E27FC236}">
                <a16:creationId xmlns:a16="http://schemas.microsoft.com/office/drawing/2014/main" id="{00000000-0008-0000-0500-0000F11A0000}"/>
              </a:ext>
            </a:extLst>
          </xdr:cNvPr>
          <xdr:cNvCxnSpPr/>
        </xdr:nvCxnSpPr>
        <xdr:spPr>
          <a:xfrm>
            <a:off x="5139531" y="38864118"/>
            <a:ext cx="337344" cy="0"/>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898" name="VBA_Midspan_Report_QText_29">
            <a:extLst>
              <a:ext uri="{FF2B5EF4-FFF2-40B4-BE49-F238E27FC236}">
                <a16:creationId xmlns:a16="http://schemas.microsoft.com/office/drawing/2014/main" id="{00000000-0008-0000-0500-0000F21A0000}"/>
              </a:ext>
            </a:extLst>
          </xdr:cNvPr>
          <xdr:cNvSpPr txBox="1"/>
        </xdr:nvSpPr>
        <xdr:spPr>
          <a:xfrm>
            <a:off x="4958953" y="38711718"/>
            <a:ext cx="698500" cy="139700"/>
          </a:xfrm>
          <a:prstGeom prst="rect">
            <a:avLst/>
          </a:prstGeom>
          <a:solidFill>
            <a:srgbClr val="FFFFFF">
              <a:alpha val="85000"/>
            </a:srgb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750" b="1">
                <a:solidFill>
                  <a:srgbClr val="282828"/>
                </a:solidFill>
                <a:latin typeface="Calibri" panose="020F0502020204030204" pitchFamily="34" charset="0"/>
              </a:rPr>
              <a:t>a₄,c = 75 mm</a:t>
            </a:r>
          </a:p>
        </xdr:txBody>
      </xdr:sp>
    </xdr:grpSp>
    <xdr:clientData/>
  </xdr:twoCellAnchor>
  <xdr:twoCellAnchor>
    <xdr:from>
      <xdr:col>1</xdr:col>
      <xdr:colOff>55880</xdr:colOff>
      <xdr:row>162</xdr:row>
      <xdr:rowOff>50800</xdr:rowOff>
    </xdr:from>
    <xdr:to>
      <xdr:col>5</xdr:col>
      <xdr:colOff>420370</xdr:colOff>
      <xdr:row>162</xdr:row>
      <xdr:rowOff>1854200</xdr:rowOff>
    </xdr:to>
    <xdr:grpSp>
      <xdr:nvGrpSpPr>
        <xdr:cNvPr id="2076" name="VBA_Schema_FaseI_Group">
          <a:extLst>
            <a:ext uri="{FF2B5EF4-FFF2-40B4-BE49-F238E27FC236}">
              <a16:creationId xmlns:a16="http://schemas.microsoft.com/office/drawing/2014/main" id="{00000000-0008-0000-0500-00001C080000}"/>
            </a:ext>
          </a:extLst>
        </xdr:cNvPr>
        <xdr:cNvGrpSpPr>
          <a:grpSpLocks/>
        </xdr:cNvGrpSpPr>
      </xdr:nvGrpSpPr>
      <xdr:grpSpPr>
        <a:xfrm>
          <a:off x="151130" y="43780075"/>
          <a:ext cx="3221990" cy="1803400"/>
          <a:chOff x="120650" y="43640375"/>
          <a:chExt cx="3221990" cy="1803400"/>
        </a:xfrm>
      </xdr:grpSpPr>
      <xdr:sp macro="" textlink="">
        <xdr:nvSpPr>
          <xdr:cNvPr id="6900" name="VBA_Schema_FaseI_Trave">
            <a:extLst>
              <a:ext uri="{FF2B5EF4-FFF2-40B4-BE49-F238E27FC236}">
                <a16:creationId xmlns:a16="http://schemas.microsoft.com/office/drawing/2014/main" id="{00000000-0008-0000-0500-0000F41A0000}"/>
              </a:ext>
            </a:extLst>
          </xdr:cNvPr>
          <xdr:cNvSpPr/>
        </xdr:nvSpPr>
        <xdr:spPr>
          <a:xfrm>
            <a:off x="323850" y="44173775"/>
            <a:ext cx="2876550" cy="50800"/>
          </a:xfrm>
          <a:prstGeom prst="rect">
            <a:avLst/>
          </a:prstGeom>
          <a:solidFill>
            <a:srgbClr val="5A4632"/>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901" name="VBA_Schema_FaseI_AppoggioFisso_Tri">
            <a:extLst>
              <a:ext uri="{FF2B5EF4-FFF2-40B4-BE49-F238E27FC236}">
                <a16:creationId xmlns:a16="http://schemas.microsoft.com/office/drawing/2014/main" id="{00000000-0008-0000-0500-0000F51A0000}"/>
              </a:ext>
            </a:extLst>
          </xdr:cNvPr>
          <xdr:cNvSpPr/>
        </xdr:nvSpPr>
        <xdr:spPr>
          <a:xfrm>
            <a:off x="222250" y="44224575"/>
            <a:ext cx="203200" cy="2032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902" name="VBA_Schema_FaseI_AppoggioFisso_Base">
            <a:extLst>
              <a:ext uri="{FF2B5EF4-FFF2-40B4-BE49-F238E27FC236}">
                <a16:creationId xmlns:a16="http://schemas.microsoft.com/office/drawing/2014/main" id="{00000000-0008-0000-0500-0000F61A0000}"/>
              </a:ext>
            </a:extLst>
          </xdr:cNvPr>
          <xdr:cNvCxnSpPr/>
        </xdr:nvCxnSpPr>
        <xdr:spPr>
          <a:xfrm>
            <a:off x="181610" y="44427775"/>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sp macro="" textlink="">
        <xdr:nvSpPr>
          <xdr:cNvPr id="6903" name="VBA_Schema_FaseI_AppoggioMobile_Tri">
            <a:extLst>
              <a:ext uri="{FF2B5EF4-FFF2-40B4-BE49-F238E27FC236}">
                <a16:creationId xmlns:a16="http://schemas.microsoft.com/office/drawing/2014/main" id="{00000000-0008-0000-0500-0000F71A0000}"/>
              </a:ext>
            </a:extLst>
          </xdr:cNvPr>
          <xdr:cNvSpPr/>
        </xdr:nvSpPr>
        <xdr:spPr>
          <a:xfrm>
            <a:off x="3098800" y="44224575"/>
            <a:ext cx="203200" cy="1524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904" name="VBA_Schema_FaseI_AppoggioMobile_R1">
            <a:extLst>
              <a:ext uri="{FF2B5EF4-FFF2-40B4-BE49-F238E27FC236}">
                <a16:creationId xmlns:a16="http://schemas.microsoft.com/office/drawing/2014/main" id="{00000000-0008-0000-0500-0000F81A0000}"/>
              </a:ext>
            </a:extLst>
          </xdr:cNvPr>
          <xdr:cNvSpPr/>
        </xdr:nvSpPr>
        <xdr:spPr>
          <a:xfrm>
            <a:off x="3106928" y="4437697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905" name="VBA_Schema_FaseI_AppoggioMobile_R2">
            <a:extLst>
              <a:ext uri="{FF2B5EF4-FFF2-40B4-BE49-F238E27FC236}">
                <a16:creationId xmlns:a16="http://schemas.microsoft.com/office/drawing/2014/main" id="{00000000-0008-0000-0500-0000F91A0000}"/>
              </a:ext>
            </a:extLst>
          </xdr:cNvPr>
          <xdr:cNvSpPr/>
        </xdr:nvSpPr>
        <xdr:spPr>
          <a:xfrm>
            <a:off x="3236976" y="4437697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906" name="VBA_Schema_FaseI_AppoggioMobile_Base">
            <a:extLst>
              <a:ext uri="{FF2B5EF4-FFF2-40B4-BE49-F238E27FC236}">
                <a16:creationId xmlns:a16="http://schemas.microsoft.com/office/drawing/2014/main" id="{00000000-0008-0000-0500-0000FA1A0000}"/>
              </a:ext>
            </a:extLst>
          </xdr:cNvPr>
          <xdr:cNvCxnSpPr/>
        </xdr:nvCxnSpPr>
        <xdr:spPr>
          <a:xfrm>
            <a:off x="3058160" y="44433871"/>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cxnSp macro="">
        <xdr:nvCxnSpPr>
          <xdr:cNvPr id="6907" name="VBA_Schema_FaseI_Carico_LineaSup">
            <a:extLst>
              <a:ext uri="{FF2B5EF4-FFF2-40B4-BE49-F238E27FC236}">
                <a16:creationId xmlns:a16="http://schemas.microsoft.com/office/drawing/2014/main" id="{00000000-0008-0000-0500-0000FB1A0000}"/>
              </a:ext>
            </a:extLst>
          </xdr:cNvPr>
          <xdr:cNvCxnSpPr/>
        </xdr:nvCxnSpPr>
        <xdr:spPr>
          <a:xfrm>
            <a:off x="323850" y="43843575"/>
            <a:ext cx="2876550" cy="0"/>
          </a:xfrm>
          <a:prstGeom prst="line">
            <a:avLst/>
          </a:prstGeom>
          <a:ln w="15875">
            <a:solidFill>
              <a:srgbClr val="005AAA"/>
            </a:solidFill>
          </a:ln>
        </xdr:spPr>
        <xdr:style>
          <a:lnRef idx="1">
            <a:schemeClr val="accent1"/>
          </a:lnRef>
          <a:fillRef idx="0">
            <a:schemeClr val="accent1"/>
          </a:fillRef>
          <a:effectRef idx="0">
            <a:schemeClr val="accent1"/>
          </a:effectRef>
          <a:fontRef idx="minor">
            <a:schemeClr val="tx1"/>
          </a:fontRef>
        </xdr:style>
      </xdr:cxnSp>
      <xdr:cxnSp macro="">
        <xdr:nvCxnSpPr>
          <xdr:cNvPr id="6908" name="VBA_Schema_FaseI_Carico_Freccia_0">
            <a:extLst>
              <a:ext uri="{FF2B5EF4-FFF2-40B4-BE49-F238E27FC236}">
                <a16:creationId xmlns:a16="http://schemas.microsoft.com/office/drawing/2014/main" id="{00000000-0008-0000-0500-0000FC1A0000}"/>
              </a:ext>
            </a:extLst>
          </xdr:cNvPr>
          <xdr:cNvCxnSpPr/>
        </xdr:nvCxnSpPr>
        <xdr:spPr>
          <a:xfrm>
            <a:off x="32385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6909" name="VBA_Schema_FaseI_Carico_Freccia_1">
            <a:extLst>
              <a:ext uri="{FF2B5EF4-FFF2-40B4-BE49-F238E27FC236}">
                <a16:creationId xmlns:a16="http://schemas.microsoft.com/office/drawing/2014/main" id="{00000000-0008-0000-0500-0000FD1A0000}"/>
              </a:ext>
            </a:extLst>
          </xdr:cNvPr>
          <xdr:cNvCxnSpPr/>
        </xdr:nvCxnSpPr>
        <xdr:spPr>
          <a:xfrm>
            <a:off x="803275"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6910" name="VBA_Schema_FaseI_Carico_Freccia_2">
            <a:extLst>
              <a:ext uri="{FF2B5EF4-FFF2-40B4-BE49-F238E27FC236}">
                <a16:creationId xmlns:a16="http://schemas.microsoft.com/office/drawing/2014/main" id="{00000000-0008-0000-0500-0000FE1A0000}"/>
              </a:ext>
            </a:extLst>
          </xdr:cNvPr>
          <xdr:cNvCxnSpPr/>
        </xdr:nvCxnSpPr>
        <xdr:spPr>
          <a:xfrm>
            <a:off x="128270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6911" name="VBA_Schema_FaseI_Carico_Freccia_3">
            <a:extLst>
              <a:ext uri="{FF2B5EF4-FFF2-40B4-BE49-F238E27FC236}">
                <a16:creationId xmlns:a16="http://schemas.microsoft.com/office/drawing/2014/main" id="{00000000-0008-0000-0500-0000FF1A0000}"/>
              </a:ext>
            </a:extLst>
          </xdr:cNvPr>
          <xdr:cNvCxnSpPr/>
        </xdr:nvCxnSpPr>
        <xdr:spPr>
          <a:xfrm>
            <a:off x="1762125"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048" name="VBA_Schema_FaseI_Carico_Freccia_4">
            <a:extLst>
              <a:ext uri="{FF2B5EF4-FFF2-40B4-BE49-F238E27FC236}">
                <a16:creationId xmlns:a16="http://schemas.microsoft.com/office/drawing/2014/main" id="{00000000-0008-0000-0500-000000080000}"/>
              </a:ext>
            </a:extLst>
          </xdr:cNvPr>
          <xdr:cNvCxnSpPr/>
        </xdr:nvCxnSpPr>
        <xdr:spPr>
          <a:xfrm>
            <a:off x="224155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049" name="VBA_Schema_FaseI_Carico_Freccia_5">
            <a:extLst>
              <a:ext uri="{FF2B5EF4-FFF2-40B4-BE49-F238E27FC236}">
                <a16:creationId xmlns:a16="http://schemas.microsoft.com/office/drawing/2014/main" id="{00000000-0008-0000-0500-000001080000}"/>
              </a:ext>
            </a:extLst>
          </xdr:cNvPr>
          <xdr:cNvCxnSpPr/>
        </xdr:nvCxnSpPr>
        <xdr:spPr>
          <a:xfrm>
            <a:off x="2720975"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050" name="VBA_Schema_FaseI_Carico_Freccia_6">
            <a:extLst>
              <a:ext uri="{FF2B5EF4-FFF2-40B4-BE49-F238E27FC236}">
                <a16:creationId xmlns:a16="http://schemas.microsoft.com/office/drawing/2014/main" id="{00000000-0008-0000-0500-000002080000}"/>
              </a:ext>
            </a:extLst>
          </xdr:cNvPr>
          <xdr:cNvCxnSpPr/>
        </xdr:nvCxnSpPr>
        <xdr:spPr>
          <a:xfrm>
            <a:off x="320040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2051" name="VBA_Schema_FaseI_Carico_Label">
            <a:extLst>
              <a:ext uri="{FF2B5EF4-FFF2-40B4-BE49-F238E27FC236}">
                <a16:creationId xmlns:a16="http://schemas.microsoft.com/office/drawing/2014/main" id="{00000000-0008-0000-0500-000003080000}"/>
              </a:ext>
            </a:extLst>
          </xdr:cNvPr>
          <xdr:cNvSpPr txBox="1"/>
        </xdr:nvSpPr>
        <xdr:spPr>
          <a:xfrm>
            <a:off x="1190625" y="4364037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3C78"/>
                </a:solidFill>
                <a:latin typeface="Calibri" panose="020F0502020204030204" pitchFamily="34" charset="0"/>
              </a:rPr>
              <a:t>qⅠ,d = 2,70 kN/m</a:t>
            </a:r>
          </a:p>
        </xdr:txBody>
      </xdr:sp>
      <xdr:sp macro="" textlink="">
        <xdr:nvSpPr>
          <xdr:cNvPr id="2052" name="VBA_Schema_FaseI_Span_Label">
            <a:extLst>
              <a:ext uri="{FF2B5EF4-FFF2-40B4-BE49-F238E27FC236}">
                <a16:creationId xmlns:a16="http://schemas.microsoft.com/office/drawing/2014/main" id="{00000000-0008-0000-0500-000004080000}"/>
              </a:ext>
            </a:extLst>
          </xdr:cNvPr>
          <xdr:cNvSpPr txBox="1"/>
        </xdr:nvSpPr>
        <xdr:spPr>
          <a:xfrm>
            <a:off x="1190625" y="4422457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ℓ = 6000 mm</a:t>
            </a:r>
          </a:p>
        </xdr:txBody>
      </xdr:sp>
      <xdr:cxnSp macro="">
        <xdr:nvCxnSpPr>
          <xdr:cNvPr id="2053" name="VBA_Schema_FaseI_Taglio_Zero">
            <a:extLst>
              <a:ext uri="{FF2B5EF4-FFF2-40B4-BE49-F238E27FC236}">
                <a16:creationId xmlns:a16="http://schemas.microsoft.com/office/drawing/2014/main" id="{00000000-0008-0000-0500-000005080000}"/>
              </a:ext>
            </a:extLst>
          </xdr:cNvPr>
          <xdr:cNvCxnSpPr/>
        </xdr:nvCxnSpPr>
        <xdr:spPr>
          <a:xfrm>
            <a:off x="323850" y="4463097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cxnSp macro="">
        <xdr:nvCxnSpPr>
          <xdr:cNvPr id="2054" name="VBA_Schema_FaseI_Taglio_Retta">
            <a:extLst>
              <a:ext uri="{FF2B5EF4-FFF2-40B4-BE49-F238E27FC236}">
                <a16:creationId xmlns:a16="http://schemas.microsoft.com/office/drawing/2014/main" id="{00000000-0008-0000-0500-000006080000}"/>
              </a:ext>
            </a:extLst>
          </xdr:cNvPr>
          <xdr:cNvCxnSpPr/>
        </xdr:nvCxnSpPr>
        <xdr:spPr>
          <a:xfrm>
            <a:off x="323850" y="44376975"/>
            <a:ext cx="2876550" cy="508000"/>
          </a:xfrm>
          <a:prstGeom prst="line">
            <a:avLst/>
          </a:prstGeom>
          <a:ln w="19050">
            <a:solidFill>
              <a:srgbClr val="0096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2055" name="VBA_Schema_FaseI_Taglio_Label">
            <a:extLst>
              <a:ext uri="{FF2B5EF4-FFF2-40B4-BE49-F238E27FC236}">
                <a16:creationId xmlns:a16="http://schemas.microsoft.com/office/drawing/2014/main" id="{00000000-0008-0000-0500-000007080000}"/>
              </a:ext>
            </a:extLst>
          </xdr:cNvPr>
          <xdr:cNvSpPr txBox="1"/>
        </xdr:nvSpPr>
        <xdr:spPr>
          <a:xfrm>
            <a:off x="120650" y="4454207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963C"/>
                </a:solidFill>
                <a:latin typeface="Calibri" panose="020F0502020204030204" pitchFamily="34" charset="0"/>
              </a:rPr>
              <a:t>V</a:t>
            </a:r>
          </a:p>
        </xdr:txBody>
      </xdr:sp>
      <xdr:sp macro="" textlink="">
        <xdr:nvSpPr>
          <xdr:cNvPr id="2071" name="VBA_Schema_FaseI_Taglio_Max">
            <a:extLst>
              <a:ext uri="{FF2B5EF4-FFF2-40B4-BE49-F238E27FC236}">
                <a16:creationId xmlns:a16="http://schemas.microsoft.com/office/drawing/2014/main" id="{00000000-0008-0000-0500-000017080000}"/>
              </a:ext>
            </a:extLst>
          </xdr:cNvPr>
          <xdr:cNvSpPr txBox="1"/>
        </xdr:nvSpPr>
        <xdr:spPr>
          <a:xfrm>
            <a:off x="374650" y="4422457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800" b="1">
                <a:solidFill>
                  <a:srgbClr val="007832"/>
                </a:solidFill>
                <a:latin typeface="Calibri" panose="020F0502020204030204" pitchFamily="34" charset="0"/>
              </a:rPr>
              <a:t>V=8,10 kN</a:t>
            </a:r>
          </a:p>
        </xdr:txBody>
      </xdr:sp>
      <xdr:cxnSp macro="">
        <xdr:nvCxnSpPr>
          <xdr:cNvPr id="2072" name="VBA_Schema_FaseI_Momento_Zero">
            <a:extLst>
              <a:ext uri="{FF2B5EF4-FFF2-40B4-BE49-F238E27FC236}">
                <a16:creationId xmlns:a16="http://schemas.microsoft.com/office/drawing/2014/main" id="{00000000-0008-0000-0500-000018080000}"/>
              </a:ext>
            </a:extLst>
          </xdr:cNvPr>
          <xdr:cNvCxnSpPr/>
        </xdr:nvCxnSpPr>
        <xdr:spPr>
          <a:xfrm>
            <a:off x="323850" y="4501197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sp macro="" textlink="">
        <xdr:nvSpPr>
          <xdr:cNvPr id="2073" name="VBA_Schema_FaseI_Momento_Parabola">
            <a:extLst>
              <a:ext uri="{FF2B5EF4-FFF2-40B4-BE49-F238E27FC236}">
                <a16:creationId xmlns:a16="http://schemas.microsoft.com/office/drawing/2014/main" id="{00000000-0008-0000-0500-000019080000}"/>
              </a:ext>
            </a:extLst>
          </xdr:cNvPr>
          <xdr:cNvSpPr/>
        </xdr:nvSpPr>
        <xdr:spPr>
          <a:xfrm>
            <a:off x="323850" y="45011975"/>
            <a:ext cx="2876550" cy="254000"/>
          </a:xfrm>
          <a:custGeom>
            <a:avLst/>
            <a:gdLst>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Lst>
            <a:rect l="l" t="t" r="r" b="b"/>
            <a:pathLst>
              <a:path w="2876550" h="254000">
                <a:moveTo>
                  <a:pt x="0" y="0"/>
                </a:moveTo>
                <a:lnTo>
                  <a:pt x="119856" y="40568"/>
                </a:lnTo>
                <a:cubicBezTo>
                  <a:pt x="159808" y="53503"/>
                  <a:pt x="199761" y="65851"/>
                  <a:pt x="239713" y="77611"/>
                </a:cubicBezTo>
                <a:cubicBezTo>
                  <a:pt x="279665" y="89371"/>
                  <a:pt x="319617" y="100542"/>
                  <a:pt x="359569" y="111125"/>
                </a:cubicBezTo>
                <a:cubicBezTo>
                  <a:pt x="399521" y="121708"/>
                  <a:pt x="439473" y="131704"/>
                  <a:pt x="479425" y="141111"/>
                </a:cubicBezTo>
                <a:cubicBezTo>
                  <a:pt x="519377" y="150518"/>
                  <a:pt x="559329" y="159337"/>
                  <a:pt x="599281" y="167568"/>
                </a:cubicBezTo>
                <a:cubicBezTo>
                  <a:pt x="639233" y="175800"/>
                  <a:pt x="679186" y="183444"/>
                  <a:pt x="719138" y="190500"/>
                </a:cubicBezTo>
                <a:cubicBezTo>
                  <a:pt x="759090" y="197556"/>
                  <a:pt x="799042" y="204023"/>
                  <a:pt x="838994" y="209903"/>
                </a:cubicBezTo>
                <a:cubicBezTo>
                  <a:pt x="878946" y="215783"/>
                  <a:pt x="918898" y="221074"/>
                  <a:pt x="958850" y="225778"/>
                </a:cubicBezTo>
                <a:cubicBezTo>
                  <a:pt x="998802" y="230482"/>
                  <a:pt x="1038754" y="234598"/>
                  <a:pt x="1078706" y="238125"/>
                </a:cubicBezTo>
                <a:cubicBezTo>
                  <a:pt x="1118658" y="241653"/>
                  <a:pt x="1158611" y="244591"/>
                  <a:pt x="1198563" y="246943"/>
                </a:cubicBezTo>
                <a:cubicBezTo>
                  <a:pt x="1238515" y="249295"/>
                  <a:pt x="1278467" y="251060"/>
                  <a:pt x="1318419" y="252236"/>
                </a:cubicBezTo>
                <a:cubicBezTo>
                  <a:pt x="1358371" y="253412"/>
                  <a:pt x="1398323" y="254000"/>
                  <a:pt x="1438275" y="254000"/>
                </a:cubicBezTo>
                <a:cubicBezTo>
                  <a:pt x="1478227" y="254000"/>
                  <a:pt x="1518179" y="253412"/>
                  <a:pt x="1558131" y="252236"/>
                </a:cubicBezTo>
                <a:cubicBezTo>
                  <a:pt x="1598083" y="251060"/>
                  <a:pt x="1638036" y="249295"/>
                  <a:pt x="1677988" y="246943"/>
                </a:cubicBezTo>
                <a:cubicBezTo>
                  <a:pt x="1717940" y="244591"/>
                  <a:pt x="1757892" y="241653"/>
                  <a:pt x="1797844" y="238125"/>
                </a:cubicBezTo>
                <a:cubicBezTo>
                  <a:pt x="1837796" y="234598"/>
                  <a:pt x="1877748" y="230482"/>
                  <a:pt x="1917700" y="225778"/>
                </a:cubicBezTo>
                <a:cubicBezTo>
                  <a:pt x="1957652" y="221074"/>
                  <a:pt x="1997604" y="215783"/>
                  <a:pt x="2037556" y="209903"/>
                </a:cubicBezTo>
                <a:cubicBezTo>
                  <a:pt x="2077508" y="204023"/>
                  <a:pt x="2117461" y="197556"/>
                  <a:pt x="2157413" y="190500"/>
                </a:cubicBezTo>
                <a:cubicBezTo>
                  <a:pt x="2197365" y="183444"/>
                  <a:pt x="2237317" y="175800"/>
                  <a:pt x="2277269" y="167568"/>
                </a:cubicBezTo>
                <a:cubicBezTo>
                  <a:pt x="2317221" y="159337"/>
                  <a:pt x="2357173" y="150518"/>
                  <a:pt x="2397125" y="141111"/>
                </a:cubicBezTo>
                <a:cubicBezTo>
                  <a:pt x="2437077" y="131704"/>
                  <a:pt x="2477029" y="121708"/>
                  <a:pt x="2516981" y="111125"/>
                </a:cubicBezTo>
                <a:cubicBezTo>
                  <a:pt x="2556933" y="100542"/>
                  <a:pt x="2596886" y="89371"/>
                  <a:pt x="2636838" y="77611"/>
                </a:cubicBezTo>
                <a:cubicBezTo>
                  <a:pt x="2676790" y="65851"/>
                  <a:pt x="2716742" y="53503"/>
                  <a:pt x="2756694" y="40568"/>
                </a:cubicBezTo>
                <a:cubicBezTo>
                  <a:pt x="2796646" y="27633"/>
                  <a:pt x="2851580" y="8452"/>
                  <a:pt x="2876550" y="0"/>
                </a:cubicBezTo>
              </a:path>
            </a:pathLst>
          </a:custGeom>
          <a:ln w="19050">
            <a:solidFill>
              <a:srgbClr val="D21E1E"/>
            </a:solidFill>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it-IT" sz="1100"/>
          </a:p>
        </xdr:txBody>
      </xdr:sp>
      <xdr:sp macro="" textlink="">
        <xdr:nvSpPr>
          <xdr:cNvPr id="2074" name="VBA_Schema_FaseI_Momento_Label">
            <a:extLst>
              <a:ext uri="{FF2B5EF4-FFF2-40B4-BE49-F238E27FC236}">
                <a16:creationId xmlns:a16="http://schemas.microsoft.com/office/drawing/2014/main" id="{00000000-0008-0000-0500-00001A080000}"/>
              </a:ext>
            </a:extLst>
          </xdr:cNvPr>
          <xdr:cNvSpPr txBox="1"/>
        </xdr:nvSpPr>
        <xdr:spPr>
          <a:xfrm>
            <a:off x="120650" y="4505007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D21E1E"/>
                </a:solidFill>
                <a:latin typeface="Calibri" panose="020F0502020204030204" pitchFamily="34" charset="0"/>
              </a:rPr>
              <a:t>M</a:t>
            </a:r>
          </a:p>
        </xdr:txBody>
      </xdr:sp>
      <xdr:sp macro="" textlink="">
        <xdr:nvSpPr>
          <xdr:cNvPr id="2075" name="VBA_Schema_FaseI_Momento_Max">
            <a:extLst>
              <a:ext uri="{FF2B5EF4-FFF2-40B4-BE49-F238E27FC236}">
                <a16:creationId xmlns:a16="http://schemas.microsoft.com/office/drawing/2014/main" id="{00000000-0008-0000-0500-00001B080000}"/>
              </a:ext>
            </a:extLst>
          </xdr:cNvPr>
          <xdr:cNvSpPr txBox="1"/>
        </xdr:nvSpPr>
        <xdr:spPr>
          <a:xfrm>
            <a:off x="1190625" y="4529137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B41414"/>
                </a:solidFill>
                <a:latin typeface="Calibri" panose="020F0502020204030204" pitchFamily="34" charset="0"/>
              </a:rPr>
              <a:t>M=12,15 kNm</a:t>
            </a:r>
          </a:p>
        </xdr:txBody>
      </xdr:sp>
    </xdr:grpSp>
    <xdr:clientData/>
  </xdr:twoCellAnchor>
  <xdr:twoCellAnchor>
    <xdr:from>
      <xdr:col>7</xdr:col>
      <xdr:colOff>55880</xdr:colOff>
      <xdr:row>162</xdr:row>
      <xdr:rowOff>50800</xdr:rowOff>
    </xdr:from>
    <xdr:to>
      <xdr:col>11</xdr:col>
      <xdr:colOff>420370</xdr:colOff>
      <xdr:row>162</xdr:row>
      <xdr:rowOff>1854200</xdr:rowOff>
    </xdr:to>
    <xdr:grpSp>
      <xdr:nvGrpSpPr>
        <xdr:cNvPr id="6981" name="VBA_Schema_FaseII_Group">
          <a:extLst>
            <a:ext uri="{FF2B5EF4-FFF2-40B4-BE49-F238E27FC236}">
              <a16:creationId xmlns:a16="http://schemas.microsoft.com/office/drawing/2014/main" id="{00000000-0008-0000-0500-0000451B0000}"/>
            </a:ext>
          </a:extLst>
        </xdr:cNvPr>
        <xdr:cNvGrpSpPr>
          <a:grpSpLocks/>
        </xdr:cNvGrpSpPr>
      </xdr:nvGrpSpPr>
      <xdr:grpSpPr>
        <a:xfrm>
          <a:off x="3865880" y="43780075"/>
          <a:ext cx="3221990" cy="1803400"/>
          <a:chOff x="3835400" y="43640375"/>
          <a:chExt cx="3221990" cy="1803400"/>
        </a:xfrm>
      </xdr:grpSpPr>
      <xdr:sp macro="" textlink="">
        <xdr:nvSpPr>
          <xdr:cNvPr id="2077" name="VBA_Schema_FaseII_Trave">
            <a:extLst>
              <a:ext uri="{FF2B5EF4-FFF2-40B4-BE49-F238E27FC236}">
                <a16:creationId xmlns:a16="http://schemas.microsoft.com/office/drawing/2014/main" id="{00000000-0008-0000-0500-00001D080000}"/>
              </a:ext>
            </a:extLst>
          </xdr:cNvPr>
          <xdr:cNvSpPr/>
        </xdr:nvSpPr>
        <xdr:spPr>
          <a:xfrm>
            <a:off x="4038600" y="44173775"/>
            <a:ext cx="2876550" cy="50800"/>
          </a:xfrm>
          <a:prstGeom prst="rect">
            <a:avLst/>
          </a:prstGeom>
          <a:solidFill>
            <a:srgbClr val="5A4632"/>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2079" name="VBA_Schema_FaseII_AppoggioFisso_Tri">
            <a:extLst>
              <a:ext uri="{FF2B5EF4-FFF2-40B4-BE49-F238E27FC236}">
                <a16:creationId xmlns:a16="http://schemas.microsoft.com/office/drawing/2014/main" id="{00000000-0008-0000-0500-00001F080000}"/>
              </a:ext>
            </a:extLst>
          </xdr:cNvPr>
          <xdr:cNvSpPr/>
        </xdr:nvSpPr>
        <xdr:spPr>
          <a:xfrm>
            <a:off x="3937000" y="44224575"/>
            <a:ext cx="203200" cy="2032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2081" name="VBA_Schema_FaseII_AppoggioFisso_Base">
            <a:extLst>
              <a:ext uri="{FF2B5EF4-FFF2-40B4-BE49-F238E27FC236}">
                <a16:creationId xmlns:a16="http://schemas.microsoft.com/office/drawing/2014/main" id="{00000000-0008-0000-0500-000021080000}"/>
              </a:ext>
            </a:extLst>
          </xdr:cNvPr>
          <xdr:cNvCxnSpPr/>
        </xdr:nvCxnSpPr>
        <xdr:spPr>
          <a:xfrm>
            <a:off x="3896360" y="44427775"/>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sp macro="" textlink="">
        <xdr:nvSpPr>
          <xdr:cNvPr id="2082" name="VBA_Schema_FaseII_AppoggioMobile_Tri">
            <a:extLst>
              <a:ext uri="{FF2B5EF4-FFF2-40B4-BE49-F238E27FC236}">
                <a16:creationId xmlns:a16="http://schemas.microsoft.com/office/drawing/2014/main" id="{00000000-0008-0000-0500-000022080000}"/>
              </a:ext>
            </a:extLst>
          </xdr:cNvPr>
          <xdr:cNvSpPr/>
        </xdr:nvSpPr>
        <xdr:spPr>
          <a:xfrm>
            <a:off x="6813550" y="44224575"/>
            <a:ext cx="203200" cy="152400"/>
          </a:xfrm>
          <a:prstGeom prst="triangl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2086" name="VBA_Schema_FaseII_AppoggioMobile_R1">
            <a:extLst>
              <a:ext uri="{FF2B5EF4-FFF2-40B4-BE49-F238E27FC236}">
                <a16:creationId xmlns:a16="http://schemas.microsoft.com/office/drawing/2014/main" id="{00000000-0008-0000-0500-000026080000}"/>
              </a:ext>
            </a:extLst>
          </xdr:cNvPr>
          <xdr:cNvSpPr/>
        </xdr:nvSpPr>
        <xdr:spPr>
          <a:xfrm>
            <a:off x="6821678" y="4437697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2087" name="VBA_Schema_FaseII_AppoggioMobile_R2">
            <a:extLst>
              <a:ext uri="{FF2B5EF4-FFF2-40B4-BE49-F238E27FC236}">
                <a16:creationId xmlns:a16="http://schemas.microsoft.com/office/drawing/2014/main" id="{00000000-0008-0000-0500-000027080000}"/>
              </a:ext>
            </a:extLst>
          </xdr:cNvPr>
          <xdr:cNvSpPr/>
        </xdr:nvSpPr>
        <xdr:spPr>
          <a:xfrm>
            <a:off x="6951726" y="44376975"/>
            <a:ext cx="56896" cy="56896"/>
          </a:xfrm>
          <a:prstGeom prst="ellipse">
            <a:avLst/>
          </a:prstGeom>
          <a:solidFill>
            <a:srgbClr val="3C3C3C"/>
          </a:solidFill>
          <a:ln>
            <a:solidFill>
              <a:srgbClr val="1E1E1E"/>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2089" name="VBA_Schema_FaseII_AppoggioMobile_Base">
            <a:extLst>
              <a:ext uri="{FF2B5EF4-FFF2-40B4-BE49-F238E27FC236}">
                <a16:creationId xmlns:a16="http://schemas.microsoft.com/office/drawing/2014/main" id="{00000000-0008-0000-0500-000029080000}"/>
              </a:ext>
            </a:extLst>
          </xdr:cNvPr>
          <xdr:cNvCxnSpPr/>
        </xdr:nvCxnSpPr>
        <xdr:spPr>
          <a:xfrm>
            <a:off x="6772910" y="44433871"/>
            <a:ext cx="284480" cy="0"/>
          </a:xfrm>
          <a:prstGeom prst="line">
            <a:avLst/>
          </a:prstGeom>
          <a:ln w="19050">
            <a:solidFill>
              <a:srgbClr val="1E1E1E"/>
            </a:solidFill>
          </a:ln>
        </xdr:spPr>
        <xdr:style>
          <a:lnRef idx="1">
            <a:schemeClr val="accent1"/>
          </a:lnRef>
          <a:fillRef idx="0">
            <a:schemeClr val="accent1"/>
          </a:fillRef>
          <a:effectRef idx="0">
            <a:schemeClr val="accent1"/>
          </a:effectRef>
          <a:fontRef idx="minor">
            <a:schemeClr val="tx1"/>
          </a:fontRef>
        </xdr:style>
      </xdr:cxnSp>
      <xdr:cxnSp macro="">
        <xdr:nvCxnSpPr>
          <xdr:cNvPr id="2090" name="VBA_Schema_FaseII_Carico_LineaSup">
            <a:extLst>
              <a:ext uri="{FF2B5EF4-FFF2-40B4-BE49-F238E27FC236}">
                <a16:creationId xmlns:a16="http://schemas.microsoft.com/office/drawing/2014/main" id="{00000000-0008-0000-0500-00002A080000}"/>
              </a:ext>
            </a:extLst>
          </xdr:cNvPr>
          <xdr:cNvCxnSpPr/>
        </xdr:nvCxnSpPr>
        <xdr:spPr>
          <a:xfrm>
            <a:off x="4038600" y="43843575"/>
            <a:ext cx="2876550" cy="0"/>
          </a:xfrm>
          <a:prstGeom prst="line">
            <a:avLst/>
          </a:prstGeom>
          <a:ln w="15875">
            <a:solidFill>
              <a:srgbClr val="005AAA"/>
            </a:solidFill>
          </a:ln>
        </xdr:spPr>
        <xdr:style>
          <a:lnRef idx="1">
            <a:schemeClr val="accent1"/>
          </a:lnRef>
          <a:fillRef idx="0">
            <a:schemeClr val="accent1"/>
          </a:fillRef>
          <a:effectRef idx="0">
            <a:schemeClr val="accent1"/>
          </a:effectRef>
          <a:fontRef idx="minor">
            <a:schemeClr val="tx1"/>
          </a:fontRef>
        </xdr:style>
      </xdr:cxnSp>
      <xdr:cxnSp macro="">
        <xdr:nvCxnSpPr>
          <xdr:cNvPr id="2091" name="VBA_Schema_FaseII_Carico_Freccia_0">
            <a:extLst>
              <a:ext uri="{FF2B5EF4-FFF2-40B4-BE49-F238E27FC236}">
                <a16:creationId xmlns:a16="http://schemas.microsoft.com/office/drawing/2014/main" id="{00000000-0008-0000-0500-00002B080000}"/>
              </a:ext>
            </a:extLst>
          </xdr:cNvPr>
          <xdr:cNvCxnSpPr/>
        </xdr:nvCxnSpPr>
        <xdr:spPr>
          <a:xfrm>
            <a:off x="403860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092" name="VBA_Schema_FaseII_Carico_Freccia_1">
            <a:extLst>
              <a:ext uri="{FF2B5EF4-FFF2-40B4-BE49-F238E27FC236}">
                <a16:creationId xmlns:a16="http://schemas.microsoft.com/office/drawing/2014/main" id="{00000000-0008-0000-0500-00002C080000}"/>
              </a:ext>
            </a:extLst>
          </xdr:cNvPr>
          <xdr:cNvCxnSpPr/>
        </xdr:nvCxnSpPr>
        <xdr:spPr>
          <a:xfrm>
            <a:off x="4518025"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093" name="VBA_Schema_FaseII_Carico_Freccia_2">
            <a:extLst>
              <a:ext uri="{FF2B5EF4-FFF2-40B4-BE49-F238E27FC236}">
                <a16:creationId xmlns:a16="http://schemas.microsoft.com/office/drawing/2014/main" id="{00000000-0008-0000-0500-00002D080000}"/>
              </a:ext>
            </a:extLst>
          </xdr:cNvPr>
          <xdr:cNvCxnSpPr/>
        </xdr:nvCxnSpPr>
        <xdr:spPr>
          <a:xfrm>
            <a:off x="499745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097" name="VBA_Schema_FaseII_Carico_Freccia_3">
            <a:extLst>
              <a:ext uri="{FF2B5EF4-FFF2-40B4-BE49-F238E27FC236}">
                <a16:creationId xmlns:a16="http://schemas.microsoft.com/office/drawing/2014/main" id="{00000000-0008-0000-0500-000031080000}"/>
              </a:ext>
            </a:extLst>
          </xdr:cNvPr>
          <xdr:cNvCxnSpPr/>
        </xdr:nvCxnSpPr>
        <xdr:spPr>
          <a:xfrm>
            <a:off x="5476875"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099" name="VBA_Schema_FaseII_Carico_Freccia_4">
            <a:extLst>
              <a:ext uri="{FF2B5EF4-FFF2-40B4-BE49-F238E27FC236}">
                <a16:creationId xmlns:a16="http://schemas.microsoft.com/office/drawing/2014/main" id="{00000000-0008-0000-0500-000033080000}"/>
              </a:ext>
            </a:extLst>
          </xdr:cNvPr>
          <xdr:cNvCxnSpPr/>
        </xdr:nvCxnSpPr>
        <xdr:spPr>
          <a:xfrm>
            <a:off x="595630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105" name="VBA_Schema_FaseII_Carico_Freccia_5">
            <a:extLst>
              <a:ext uri="{FF2B5EF4-FFF2-40B4-BE49-F238E27FC236}">
                <a16:creationId xmlns:a16="http://schemas.microsoft.com/office/drawing/2014/main" id="{00000000-0008-0000-0500-000039080000}"/>
              </a:ext>
            </a:extLst>
          </xdr:cNvPr>
          <xdr:cNvCxnSpPr/>
        </xdr:nvCxnSpPr>
        <xdr:spPr>
          <a:xfrm>
            <a:off x="6435725"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cxnSp macro="">
        <xdr:nvCxnSpPr>
          <xdr:cNvPr id="2106" name="VBA_Schema_FaseII_Carico_Freccia_6">
            <a:extLst>
              <a:ext uri="{FF2B5EF4-FFF2-40B4-BE49-F238E27FC236}">
                <a16:creationId xmlns:a16="http://schemas.microsoft.com/office/drawing/2014/main" id="{00000000-0008-0000-0500-00003A080000}"/>
              </a:ext>
            </a:extLst>
          </xdr:cNvPr>
          <xdr:cNvCxnSpPr/>
        </xdr:nvCxnSpPr>
        <xdr:spPr>
          <a:xfrm>
            <a:off x="6915150" y="43843575"/>
            <a:ext cx="0" cy="330200"/>
          </a:xfrm>
          <a:prstGeom prst="line">
            <a:avLst/>
          </a:prstGeom>
          <a:ln w="15875">
            <a:solidFill>
              <a:srgbClr val="005AAA"/>
            </a:solidFill>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2107" name="VBA_Schema_FaseII_Carico_Label">
            <a:extLst>
              <a:ext uri="{FF2B5EF4-FFF2-40B4-BE49-F238E27FC236}">
                <a16:creationId xmlns:a16="http://schemas.microsoft.com/office/drawing/2014/main" id="{00000000-0008-0000-0500-00003B080000}"/>
              </a:ext>
            </a:extLst>
          </xdr:cNvPr>
          <xdr:cNvSpPr txBox="1"/>
        </xdr:nvSpPr>
        <xdr:spPr>
          <a:xfrm>
            <a:off x="4905375" y="4364037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3C78"/>
                </a:solidFill>
                <a:latin typeface="Calibri" panose="020F0502020204030204" pitchFamily="34" charset="0"/>
              </a:rPr>
              <a:t>qⅡ,d = 5,10 kN/m</a:t>
            </a:r>
          </a:p>
        </xdr:txBody>
      </xdr:sp>
      <xdr:sp macro="" textlink="">
        <xdr:nvSpPr>
          <xdr:cNvPr id="2108" name="VBA_Schema_FaseII_Span_Label">
            <a:extLst>
              <a:ext uri="{FF2B5EF4-FFF2-40B4-BE49-F238E27FC236}">
                <a16:creationId xmlns:a16="http://schemas.microsoft.com/office/drawing/2014/main" id="{00000000-0008-0000-0500-00003C080000}"/>
              </a:ext>
            </a:extLst>
          </xdr:cNvPr>
          <xdr:cNvSpPr txBox="1"/>
        </xdr:nvSpPr>
        <xdr:spPr>
          <a:xfrm>
            <a:off x="4905375" y="44224575"/>
            <a:ext cx="11430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ℓ = 6000 mm</a:t>
            </a:r>
          </a:p>
        </xdr:txBody>
      </xdr:sp>
      <xdr:cxnSp macro="">
        <xdr:nvCxnSpPr>
          <xdr:cNvPr id="2109" name="VBA_Schema_FaseII_Taglio_Zero">
            <a:extLst>
              <a:ext uri="{FF2B5EF4-FFF2-40B4-BE49-F238E27FC236}">
                <a16:creationId xmlns:a16="http://schemas.microsoft.com/office/drawing/2014/main" id="{00000000-0008-0000-0500-00003D080000}"/>
              </a:ext>
            </a:extLst>
          </xdr:cNvPr>
          <xdr:cNvCxnSpPr/>
        </xdr:nvCxnSpPr>
        <xdr:spPr>
          <a:xfrm>
            <a:off x="4038600" y="4463097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cxnSp macro="">
        <xdr:nvCxnSpPr>
          <xdr:cNvPr id="2110" name="VBA_Schema_FaseII_Taglio_Retta">
            <a:extLst>
              <a:ext uri="{FF2B5EF4-FFF2-40B4-BE49-F238E27FC236}">
                <a16:creationId xmlns:a16="http://schemas.microsoft.com/office/drawing/2014/main" id="{00000000-0008-0000-0500-00003E080000}"/>
              </a:ext>
            </a:extLst>
          </xdr:cNvPr>
          <xdr:cNvCxnSpPr/>
        </xdr:nvCxnSpPr>
        <xdr:spPr>
          <a:xfrm>
            <a:off x="4038600" y="44376975"/>
            <a:ext cx="2876550" cy="508000"/>
          </a:xfrm>
          <a:prstGeom prst="line">
            <a:avLst/>
          </a:prstGeom>
          <a:ln w="19050">
            <a:solidFill>
              <a:srgbClr val="00963C"/>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2111" name="VBA_Schema_FaseII_Taglio_Label">
            <a:extLst>
              <a:ext uri="{FF2B5EF4-FFF2-40B4-BE49-F238E27FC236}">
                <a16:creationId xmlns:a16="http://schemas.microsoft.com/office/drawing/2014/main" id="{00000000-0008-0000-0500-00003F080000}"/>
              </a:ext>
            </a:extLst>
          </xdr:cNvPr>
          <xdr:cNvSpPr txBox="1"/>
        </xdr:nvSpPr>
        <xdr:spPr>
          <a:xfrm>
            <a:off x="3835400" y="4454207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00963C"/>
                </a:solidFill>
                <a:latin typeface="Calibri" panose="020F0502020204030204" pitchFamily="34" charset="0"/>
              </a:rPr>
              <a:t>V</a:t>
            </a:r>
          </a:p>
        </xdr:txBody>
      </xdr:sp>
      <xdr:sp macro="" textlink="">
        <xdr:nvSpPr>
          <xdr:cNvPr id="6976" name="VBA_Schema_FaseII_Taglio_Max">
            <a:extLst>
              <a:ext uri="{FF2B5EF4-FFF2-40B4-BE49-F238E27FC236}">
                <a16:creationId xmlns:a16="http://schemas.microsoft.com/office/drawing/2014/main" id="{00000000-0008-0000-0500-0000401B0000}"/>
              </a:ext>
            </a:extLst>
          </xdr:cNvPr>
          <xdr:cNvSpPr txBox="1"/>
        </xdr:nvSpPr>
        <xdr:spPr>
          <a:xfrm>
            <a:off x="4089400" y="4422457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800" b="1">
                <a:solidFill>
                  <a:srgbClr val="007832"/>
                </a:solidFill>
                <a:latin typeface="Calibri" panose="020F0502020204030204" pitchFamily="34" charset="0"/>
              </a:rPr>
              <a:t>V=15,30 kN</a:t>
            </a:r>
          </a:p>
        </xdr:txBody>
      </xdr:sp>
      <xdr:cxnSp macro="">
        <xdr:nvCxnSpPr>
          <xdr:cNvPr id="6977" name="VBA_Schema_FaseII_Momento_Zero">
            <a:extLst>
              <a:ext uri="{FF2B5EF4-FFF2-40B4-BE49-F238E27FC236}">
                <a16:creationId xmlns:a16="http://schemas.microsoft.com/office/drawing/2014/main" id="{00000000-0008-0000-0500-0000411B0000}"/>
              </a:ext>
            </a:extLst>
          </xdr:cNvPr>
          <xdr:cNvCxnSpPr/>
        </xdr:nvCxnSpPr>
        <xdr:spPr>
          <a:xfrm>
            <a:off x="4038600" y="45011975"/>
            <a:ext cx="2876550" cy="0"/>
          </a:xfrm>
          <a:prstGeom prst="line">
            <a:avLst/>
          </a:prstGeom>
          <a:ln w="9525">
            <a:solidFill>
              <a:srgbClr val="8C8C8C"/>
            </a:solidFill>
          </a:ln>
        </xdr:spPr>
        <xdr:style>
          <a:lnRef idx="1">
            <a:schemeClr val="accent1"/>
          </a:lnRef>
          <a:fillRef idx="0">
            <a:schemeClr val="accent1"/>
          </a:fillRef>
          <a:effectRef idx="0">
            <a:schemeClr val="accent1"/>
          </a:effectRef>
          <a:fontRef idx="minor">
            <a:schemeClr val="tx1"/>
          </a:fontRef>
        </xdr:style>
      </xdr:cxnSp>
      <xdr:sp macro="" textlink="">
        <xdr:nvSpPr>
          <xdr:cNvPr id="6978" name="VBA_Schema_FaseII_Momento_Parabola">
            <a:extLst>
              <a:ext uri="{FF2B5EF4-FFF2-40B4-BE49-F238E27FC236}">
                <a16:creationId xmlns:a16="http://schemas.microsoft.com/office/drawing/2014/main" id="{00000000-0008-0000-0500-0000421B0000}"/>
              </a:ext>
            </a:extLst>
          </xdr:cNvPr>
          <xdr:cNvSpPr/>
        </xdr:nvSpPr>
        <xdr:spPr>
          <a:xfrm>
            <a:off x="4038600" y="45011975"/>
            <a:ext cx="2876550" cy="254000"/>
          </a:xfrm>
          <a:custGeom>
            <a:avLst/>
            <a:gdLst>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 name="csX0" fmla="*/ 0 w 2876550"/>
              <a:gd name="csY0" fmla="*/ 0 h 254000"/>
              <a:gd name="csX1" fmla="*/ 119856 w 2876550"/>
              <a:gd name="csY1" fmla="*/ 40568 h 254000"/>
              <a:gd name="csX2" fmla="*/ 239713 w 2876550"/>
              <a:gd name="csY2" fmla="*/ 77611 h 254000"/>
              <a:gd name="csX3" fmla="*/ 359569 w 2876550"/>
              <a:gd name="csY3" fmla="*/ 111125 h 254000"/>
              <a:gd name="csX4" fmla="*/ 479425 w 2876550"/>
              <a:gd name="csY4" fmla="*/ 141111 h 254000"/>
              <a:gd name="csX5" fmla="*/ 599281 w 2876550"/>
              <a:gd name="csY5" fmla="*/ 167568 h 254000"/>
              <a:gd name="csX6" fmla="*/ 719138 w 2876550"/>
              <a:gd name="csY6" fmla="*/ 190500 h 254000"/>
              <a:gd name="csX7" fmla="*/ 838994 w 2876550"/>
              <a:gd name="csY7" fmla="*/ 209903 h 254000"/>
              <a:gd name="csX8" fmla="*/ 958850 w 2876550"/>
              <a:gd name="csY8" fmla="*/ 225778 h 254000"/>
              <a:gd name="csX9" fmla="*/ 1078706 w 2876550"/>
              <a:gd name="csY9" fmla="*/ 238125 h 254000"/>
              <a:gd name="csX10" fmla="*/ 1198563 w 2876550"/>
              <a:gd name="csY10" fmla="*/ 246943 h 254000"/>
              <a:gd name="csX11" fmla="*/ 1318419 w 2876550"/>
              <a:gd name="csY11" fmla="*/ 252236 h 254000"/>
              <a:gd name="csX12" fmla="*/ 1438275 w 2876550"/>
              <a:gd name="csY12" fmla="*/ 254000 h 254000"/>
              <a:gd name="csX13" fmla="*/ 1558131 w 2876550"/>
              <a:gd name="csY13" fmla="*/ 252236 h 254000"/>
              <a:gd name="csX14" fmla="*/ 1677988 w 2876550"/>
              <a:gd name="csY14" fmla="*/ 246943 h 254000"/>
              <a:gd name="csX15" fmla="*/ 1797844 w 2876550"/>
              <a:gd name="csY15" fmla="*/ 238125 h 254000"/>
              <a:gd name="csX16" fmla="*/ 1917700 w 2876550"/>
              <a:gd name="csY16" fmla="*/ 225778 h 254000"/>
              <a:gd name="csX17" fmla="*/ 2037556 w 2876550"/>
              <a:gd name="csY17" fmla="*/ 209903 h 254000"/>
              <a:gd name="csX18" fmla="*/ 2157413 w 2876550"/>
              <a:gd name="csY18" fmla="*/ 190500 h 254000"/>
              <a:gd name="csX19" fmla="*/ 2277269 w 2876550"/>
              <a:gd name="csY19" fmla="*/ 167568 h 254000"/>
              <a:gd name="csX20" fmla="*/ 2397125 w 2876550"/>
              <a:gd name="csY20" fmla="*/ 141111 h 254000"/>
              <a:gd name="csX21" fmla="*/ 2516981 w 2876550"/>
              <a:gd name="csY21" fmla="*/ 111125 h 254000"/>
              <a:gd name="csX22" fmla="*/ 2636838 w 2876550"/>
              <a:gd name="csY22" fmla="*/ 77611 h 254000"/>
              <a:gd name="csX23" fmla="*/ 2756694 w 2876550"/>
              <a:gd name="csY23" fmla="*/ 40568 h 254000"/>
              <a:gd name="csX24" fmla="*/ 2876550 w 2876550"/>
              <a:gd name="csY24" fmla="*/ 0 h 25400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Lst>
            <a:rect l="l" t="t" r="r" b="b"/>
            <a:pathLst>
              <a:path w="2876550" h="254000">
                <a:moveTo>
                  <a:pt x="0" y="0"/>
                </a:moveTo>
                <a:lnTo>
                  <a:pt x="119856" y="40568"/>
                </a:lnTo>
                <a:cubicBezTo>
                  <a:pt x="159808" y="53503"/>
                  <a:pt x="199761" y="65851"/>
                  <a:pt x="239713" y="77611"/>
                </a:cubicBezTo>
                <a:cubicBezTo>
                  <a:pt x="279665" y="89371"/>
                  <a:pt x="319617" y="100542"/>
                  <a:pt x="359569" y="111125"/>
                </a:cubicBezTo>
                <a:cubicBezTo>
                  <a:pt x="399521" y="121708"/>
                  <a:pt x="439473" y="131704"/>
                  <a:pt x="479425" y="141111"/>
                </a:cubicBezTo>
                <a:cubicBezTo>
                  <a:pt x="519377" y="150518"/>
                  <a:pt x="559329" y="159337"/>
                  <a:pt x="599281" y="167568"/>
                </a:cubicBezTo>
                <a:cubicBezTo>
                  <a:pt x="639233" y="175800"/>
                  <a:pt x="679186" y="183444"/>
                  <a:pt x="719138" y="190500"/>
                </a:cubicBezTo>
                <a:cubicBezTo>
                  <a:pt x="759090" y="197556"/>
                  <a:pt x="799042" y="204023"/>
                  <a:pt x="838994" y="209903"/>
                </a:cubicBezTo>
                <a:cubicBezTo>
                  <a:pt x="878946" y="215783"/>
                  <a:pt x="918898" y="221074"/>
                  <a:pt x="958850" y="225778"/>
                </a:cubicBezTo>
                <a:cubicBezTo>
                  <a:pt x="998802" y="230482"/>
                  <a:pt x="1038754" y="234598"/>
                  <a:pt x="1078706" y="238125"/>
                </a:cubicBezTo>
                <a:cubicBezTo>
                  <a:pt x="1118658" y="241653"/>
                  <a:pt x="1158611" y="244591"/>
                  <a:pt x="1198563" y="246943"/>
                </a:cubicBezTo>
                <a:cubicBezTo>
                  <a:pt x="1238515" y="249295"/>
                  <a:pt x="1278467" y="251060"/>
                  <a:pt x="1318419" y="252236"/>
                </a:cubicBezTo>
                <a:cubicBezTo>
                  <a:pt x="1358371" y="253412"/>
                  <a:pt x="1398323" y="254000"/>
                  <a:pt x="1438275" y="254000"/>
                </a:cubicBezTo>
                <a:cubicBezTo>
                  <a:pt x="1478227" y="254000"/>
                  <a:pt x="1518179" y="253412"/>
                  <a:pt x="1558131" y="252236"/>
                </a:cubicBezTo>
                <a:cubicBezTo>
                  <a:pt x="1598083" y="251060"/>
                  <a:pt x="1638036" y="249295"/>
                  <a:pt x="1677988" y="246943"/>
                </a:cubicBezTo>
                <a:cubicBezTo>
                  <a:pt x="1717940" y="244591"/>
                  <a:pt x="1757892" y="241653"/>
                  <a:pt x="1797844" y="238125"/>
                </a:cubicBezTo>
                <a:cubicBezTo>
                  <a:pt x="1837796" y="234598"/>
                  <a:pt x="1877748" y="230482"/>
                  <a:pt x="1917700" y="225778"/>
                </a:cubicBezTo>
                <a:cubicBezTo>
                  <a:pt x="1957652" y="221074"/>
                  <a:pt x="1997604" y="215783"/>
                  <a:pt x="2037556" y="209903"/>
                </a:cubicBezTo>
                <a:cubicBezTo>
                  <a:pt x="2077508" y="204023"/>
                  <a:pt x="2117461" y="197556"/>
                  <a:pt x="2157413" y="190500"/>
                </a:cubicBezTo>
                <a:cubicBezTo>
                  <a:pt x="2197365" y="183444"/>
                  <a:pt x="2237317" y="175800"/>
                  <a:pt x="2277269" y="167568"/>
                </a:cubicBezTo>
                <a:cubicBezTo>
                  <a:pt x="2317221" y="159337"/>
                  <a:pt x="2357173" y="150518"/>
                  <a:pt x="2397125" y="141111"/>
                </a:cubicBezTo>
                <a:cubicBezTo>
                  <a:pt x="2437077" y="131704"/>
                  <a:pt x="2477029" y="121708"/>
                  <a:pt x="2516981" y="111125"/>
                </a:cubicBezTo>
                <a:cubicBezTo>
                  <a:pt x="2556933" y="100542"/>
                  <a:pt x="2596886" y="89371"/>
                  <a:pt x="2636838" y="77611"/>
                </a:cubicBezTo>
                <a:cubicBezTo>
                  <a:pt x="2676790" y="65851"/>
                  <a:pt x="2716742" y="53503"/>
                  <a:pt x="2756694" y="40568"/>
                </a:cubicBezTo>
                <a:cubicBezTo>
                  <a:pt x="2796646" y="27633"/>
                  <a:pt x="2851580" y="8452"/>
                  <a:pt x="2876550" y="0"/>
                </a:cubicBezTo>
              </a:path>
            </a:pathLst>
          </a:custGeom>
          <a:ln w="19050">
            <a:solidFill>
              <a:srgbClr val="D21E1E"/>
            </a:solidFill>
            <a:prstDash val="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it-IT" sz="1100"/>
          </a:p>
        </xdr:txBody>
      </xdr:sp>
      <xdr:sp macro="" textlink="">
        <xdr:nvSpPr>
          <xdr:cNvPr id="6979" name="VBA_Schema_FaseII_Momento_Label">
            <a:extLst>
              <a:ext uri="{FF2B5EF4-FFF2-40B4-BE49-F238E27FC236}">
                <a16:creationId xmlns:a16="http://schemas.microsoft.com/office/drawing/2014/main" id="{00000000-0008-0000-0500-0000431B0000}"/>
              </a:ext>
            </a:extLst>
          </xdr:cNvPr>
          <xdr:cNvSpPr txBox="1"/>
        </xdr:nvSpPr>
        <xdr:spPr>
          <a:xfrm>
            <a:off x="3835400" y="45050075"/>
            <a:ext cx="1778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900" b="1">
                <a:solidFill>
                  <a:srgbClr val="D21E1E"/>
                </a:solidFill>
                <a:latin typeface="Calibri" panose="020F0502020204030204" pitchFamily="34" charset="0"/>
              </a:rPr>
              <a:t>M</a:t>
            </a:r>
          </a:p>
        </xdr:txBody>
      </xdr:sp>
      <xdr:sp macro="" textlink="">
        <xdr:nvSpPr>
          <xdr:cNvPr id="6980" name="VBA_Schema_FaseII_Momento_Max">
            <a:extLst>
              <a:ext uri="{FF2B5EF4-FFF2-40B4-BE49-F238E27FC236}">
                <a16:creationId xmlns:a16="http://schemas.microsoft.com/office/drawing/2014/main" id="{00000000-0008-0000-0500-0000441B0000}"/>
              </a:ext>
            </a:extLst>
          </xdr:cNvPr>
          <xdr:cNvSpPr txBox="1"/>
        </xdr:nvSpPr>
        <xdr:spPr>
          <a:xfrm>
            <a:off x="4905375" y="45291375"/>
            <a:ext cx="1143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B41414"/>
                </a:solidFill>
                <a:latin typeface="Calibri" panose="020F0502020204030204" pitchFamily="34" charset="0"/>
              </a:rPr>
              <a:t>M=22,95 kNm</a:t>
            </a:r>
          </a:p>
        </xdr:txBody>
      </xdr:sp>
    </xdr:grpSp>
    <xdr:clientData/>
  </xdr:twoCellAnchor>
  <xdr:twoCellAnchor>
    <xdr:from>
      <xdr:col>7</xdr:col>
      <xdr:colOff>0</xdr:colOff>
      <xdr:row>191</xdr:row>
      <xdr:rowOff>13168</xdr:rowOff>
    </xdr:from>
    <xdr:to>
      <xdr:col>12</xdr:col>
      <xdr:colOff>0</xdr:colOff>
      <xdr:row>194</xdr:row>
      <xdr:rowOff>253533</xdr:rowOff>
    </xdr:to>
    <xdr:grpSp>
      <xdr:nvGrpSpPr>
        <xdr:cNvPr id="6996" name="VBA_Baricentro_Group">
          <a:extLst>
            <a:ext uri="{FF2B5EF4-FFF2-40B4-BE49-F238E27FC236}">
              <a16:creationId xmlns:a16="http://schemas.microsoft.com/office/drawing/2014/main" id="{00000000-0008-0000-0500-0000541B0000}"/>
            </a:ext>
          </a:extLst>
        </xdr:cNvPr>
        <xdr:cNvGrpSpPr>
          <a:grpSpLocks/>
        </xdr:cNvGrpSpPr>
      </xdr:nvGrpSpPr>
      <xdr:grpSpPr>
        <a:xfrm>
          <a:off x="3810000" y="51448168"/>
          <a:ext cx="3333750" cy="611840"/>
          <a:chOff x="3060700" y="51149250"/>
          <a:chExt cx="4515224" cy="828675"/>
        </a:xfrm>
      </xdr:grpSpPr>
      <xdr:sp macro="" textlink="">
        <xdr:nvSpPr>
          <xdr:cNvPr id="6982" name="VBA_Baricentro_Pannello1">
            <a:extLst>
              <a:ext uri="{FF2B5EF4-FFF2-40B4-BE49-F238E27FC236}">
                <a16:creationId xmlns:a16="http://schemas.microsoft.com/office/drawing/2014/main" id="{00000000-0008-0000-0500-0000461B0000}"/>
              </a:ext>
            </a:extLst>
          </xdr:cNvPr>
          <xdr:cNvSpPr/>
        </xdr:nvSpPr>
        <xdr:spPr>
          <a:xfrm>
            <a:off x="4191000" y="51149250"/>
            <a:ext cx="1949824" cy="194983"/>
          </a:xfrm>
          <a:prstGeom prst="rect">
            <a:avLst/>
          </a:prstGeom>
          <a:solidFill>
            <a:srgbClr val="DEB887"/>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sp macro="" textlink="">
        <xdr:nvSpPr>
          <xdr:cNvPr id="6983" name="VBA_Baricentro_Pannello2">
            <a:extLst>
              <a:ext uri="{FF2B5EF4-FFF2-40B4-BE49-F238E27FC236}">
                <a16:creationId xmlns:a16="http://schemas.microsoft.com/office/drawing/2014/main" id="{00000000-0008-0000-0500-0000471B0000}"/>
              </a:ext>
            </a:extLst>
          </xdr:cNvPr>
          <xdr:cNvSpPr/>
        </xdr:nvSpPr>
        <xdr:spPr>
          <a:xfrm>
            <a:off x="4983116" y="51344233"/>
            <a:ext cx="365592" cy="633692"/>
          </a:xfrm>
          <a:prstGeom prst="rect">
            <a:avLst/>
          </a:prstGeom>
          <a:solidFill>
            <a:srgbClr val="B88D5B"/>
          </a:solidFill>
          <a:ln w="12700">
            <a:solidFill>
              <a:srgbClr val="785A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xnSp macro="">
        <xdr:nvCxnSpPr>
          <xdr:cNvPr id="6984" name="VBA_Baricentro_Linea_G1">
            <a:extLst>
              <a:ext uri="{FF2B5EF4-FFF2-40B4-BE49-F238E27FC236}">
                <a16:creationId xmlns:a16="http://schemas.microsoft.com/office/drawing/2014/main" id="{00000000-0008-0000-0500-0000481B0000}"/>
              </a:ext>
            </a:extLst>
          </xdr:cNvPr>
          <xdr:cNvCxnSpPr/>
        </xdr:nvCxnSpPr>
        <xdr:spPr>
          <a:xfrm>
            <a:off x="4191000" y="51246742"/>
            <a:ext cx="1949824"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985" name="VBA_Baricentro_Label_G1">
            <a:extLst>
              <a:ext uri="{FF2B5EF4-FFF2-40B4-BE49-F238E27FC236}">
                <a16:creationId xmlns:a16="http://schemas.microsoft.com/office/drawing/2014/main" id="{00000000-0008-0000-0500-0000491B0000}"/>
              </a:ext>
            </a:extLst>
          </xdr:cNvPr>
          <xdr:cNvSpPr txBox="1"/>
        </xdr:nvSpPr>
        <xdr:spPr>
          <a:xfrm>
            <a:off x="6178924" y="51157842"/>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G₁</a:t>
            </a:r>
          </a:p>
        </xdr:txBody>
      </xdr:sp>
      <xdr:cxnSp macro="">
        <xdr:nvCxnSpPr>
          <xdr:cNvPr id="6986" name="VBA_Baricentro_Linea_G2">
            <a:extLst>
              <a:ext uri="{FF2B5EF4-FFF2-40B4-BE49-F238E27FC236}">
                <a16:creationId xmlns:a16="http://schemas.microsoft.com/office/drawing/2014/main" id="{00000000-0008-0000-0500-00004A1B0000}"/>
              </a:ext>
            </a:extLst>
          </xdr:cNvPr>
          <xdr:cNvCxnSpPr/>
        </xdr:nvCxnSpPr>
        <xdr:spPr>
          <a:xfrm>
            <a:off x="4983116" y="51661079"/>
            <a:ext cx="365592" cy="0"/>
          </a:xfrm>
          <a:prstGeom prst="line">
            <a:avLst/>
          </a:prstGeom>
          <a:ln w="12700">
            <a:solidFill>
              <a:srgbClr val="282828"/>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987" name="VBA_Baricentro_Label_G2">
            <a:extLst>
              <a:ext uri="{FF2B5EF4-FFF2-40B4-BE49-F238E27FC236}">
                <a16:creationId xmlns:a16="http://schemas.microsoft.com/office/drawing/2014/main" id="{00000000-0008-0000-0500-00004B1B0000}"/>
              </a:ext>
            </a:extLst>
          </xdr:cNvPr>
          <xdr:cNvSpPr txBox="1"/>
        </xdr:nvSpPr>
        <xdr:spPr>
          <a:xfrm>
            <a:off x="5386808" y="51572179"/>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282828"/>
                </a:solidFill>
                <a:latin typeface="Calibri" panose="020F0502020204030204" pitchFamily="34" charset="0"/>
              </a:rPr>
              <a:t>G₂</a:t>
            </a:r>
          </a:p>
        </xdr:txBody>
      </xdr:sp>
      <xdr:cxnSp macro="">
        <xdr:nvCxnSpPr>
          <xdr:cNvPr id="6988" name="VBA_Baricentro_Linea_G">
            <a:extLst>
              <a:ext uri="{FF2B5EF4-FFF2-40B4-BE49-F238E27FC236}">
                <a16:creationId xmlns:a16="http://schemas.microsoft.com/office/drawing/2014/main" id="{00000000-0008-0000-0500-00004C1B0000}"/>
              </a:ext>
            </a:extLst>
          </xdr:cNvPr>
          <xdr:cNvCxnSpPr/>
        </xdr:nvCxnSpPr>
        <xdr:spPr>
          <a:xfrm>
            <a:off x="4191000" y="51390733"/>
            <a:ext cx="1949824" cy="0"/>
          </a:xfrm>
          <a:prstGeom prst="line">
            <a:avLst/>
          </a:prstGeom>
          <a:ln w="12700">
            <a:solidFill>
              <a:srgbClr val="005AAA"/>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6989" name="VBA_Baricentro_Label_G">
            <a:extLst>
              <a:ext uri="{FF2B5EF4-FFF2-40B4-BE49-F238E27FC236}">
                <a16:creationId xmlns:a16="http://schemas.microsoft.com/office/drawing/2014/main" id="{00000000-0008-0000-0500-00004D1B0000}"/>
              </a:ext>
            </a:extLst>
          </xdr:cNvPr>
          <xdr:cNvSpPr txBox="1"/>
        </xdr:nvSpPr>
        <xdr:spPr>
          <a:xfrm>
            <a:off x="6178924" y="51301833"/>
            <a:ext cx="2286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ctr"/>
            <a:r>
              <a:rPr lang="it-IT" sz="800" b="1">
                <a:solidFill>
                  <a:srgbClr val="005AAA"/>
                </a:solidFill>
                <a:latin typeface="Calibri" panose="020F0502020204030204" pitchFamily="34" charset="0"/>
              </a:rPr>
              <a:t>G</a:t>
            </a:r>
          </a:p>
        </xdr:txBody>
      </xdr:sp>
      <xdr:cxnSp macro="">
        <xdr:nvCxnSpPr>
          <xdr:cNvPr id="6990" name="VBA_Baricentro_QLine_8">
            <a:extLst>
              <a:ext uri="{FF2B5EF4-FFF2-40B4-BE49-F238E27FC236}">
                <a16:creationId xmlns:a16="http://schemas.microsoft.com/office/drawing/2014/main" id="{00000000-0008-0000-0500-00004E1B0000}"/>
              </a:ext>
            </a:extLst>
          </xdr:cNvPr>
          <xdr:cNvCxnSpPr/>
        </xdr:nvCxnSpPr>
        <xdr:spPr>
          <a:xfrm>
            <a:off x="6648824" y="51246742"/>
            <a:ext cx="0" cy="143991"/>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991" name="VBA_Baricentro_QText_9">
            <a:extLst>
              <a:ext uri="{FF2B5EF4-FFF2-40B4-BE49-F238E27FC236}">
                <a16:creationId xmlns:a16="http://schemas.microsoft.com/office/drawing/2014/main" id="{00000000-0008-0000-0500-00004F1B0000}"/>
              </a:ext>
            </a:extLst>
          </xdr:cNvPr>
          <xdr:cNvSpPr txBox="1"/>
        </xdr:nvSpPr>
        <xdr:spPr>
          <a:xfrm>
            <a:off x="6686924" y="51242537"/>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a₁=59mm</a:t>
            </a:r>
          </a:p>
        </xdr:txBody>
      </xdr:sp>
      <xdr:cxnSp macro="">
        <xdr:nvCxnSpPr>
          <xdr:cNvPr id="6992" name="VBA_Baricentro_QLine_10">
            <a:extLst>
              <a:ext uri="{FF2B5EF4-FFF2-40B4-BE49-F238E27FC236}">
                <a16:creationId xmlns:a16="http://schemas.microsoft.com/office/drawing/2014/main" id="{00000000-0008-0000-0500-0000501B0000}"/>
              </a:ext>
            </a:extLst>
          </xdr:cNvPr>
          <xdr:cNvCxnSpPr/>
        </xdr:nvCxnSpPr>
        <xdr:spPr>
          <a:xfrm>
            <a:off x="6648824" y="51390733"/>
            <a:ext cx="0" cy="270346"/>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993" name="VBA_Baricentro_QText_11">
            <a:extLst>
              <a:ext uri="{FF2B5EF4-FFF2-40B4-BE49-F238E27FC236}">
                <a16:creationId xmlns:a16="http://schemas.microsoft.com/office/drawing/2014/main" id="{00000000-0008-0000-0500-0000511B0000}"/>
              </a:ext>
            </a:extLst>
          </xdr:cNvPr>
          <xdr:cNvSpPr txBox="1"/>
        </xdr:nvSpPr>
        <xdr:spPr>
          <a:xfrm>
            <a:off x="6686924" y="51449706"/>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l"/>
            <a:r>
              <a:rPr lang="it-IT" sz="750" b="1">
                <a:solidFill>
                  <a:srgbClr val="282828"/>
                </a:solidFill>
                <a:latin typeface="Calibri" panose="020F0502020204030204" pitchFamily="34" charset="0"/>
              </a:rPr>
              <a:t>a₂=111mm</a:t>
            </a:r>
          </a:p>
        </xdr:txBody>
      </xdr:sp>
      <xdr:cxnSp macro="">
        <xdr:nvCxnSpPr>
          <xdr:cNvPr id="6994" name="VBA_Baricentro_QLine_12">
            <a:extLst>
              <a:ext uri="{FF2B5EF4-FFF2-40B4-BE49-F238E27FC236}">
                <a16:creationId xmlns:a16="http://schemas.microsoft.com/office/drawing/2014/main" id="{00000000-0008-0000-0500-0000521B0000}"/>
              </a:ext>
            </a:extLst>
          </xdr:cNvPr>
          <xdr:cNvCxnSpPr/>
        </xdr:nvCxnSpPr>
        <xdr:spPr>
          <a:xfrm>
            <a:off x="3987800" y="51246742"/>
            <a:ext cx="0" cy="414337"/>
          </a:xfrm>
          <a:prstGeom prst="line">
            <a:avLst/>
          </a:prstGeom>
          <a:ln w="9525">
            <a:solidFill>
              <a:srgbClr val="3C3C3C"/>
            </a:solidFill>
            <a:headEnd type="triangle" len="sm"/>
            <a:tailEnd type="triangle" len="sm"/>
          </a:ln>
        </xdr:spPr>
        <xdr:style>
          <a:lnRef idx="1">
            <a:schemeClr val="accent1"/>
          </a:lnRef>
          <a:fillRef idx="0">
            <a:schemeClr val="accent1"/>
          </a:fillRef>
          <a:effectRef idx="0">
            <a:schemeClr val="accent1"/>
          </a:effectRef>
          <a:fontRef idx="minor">
            <a:schemeClr val="tx1"/>
          </a:fontRef>
        </xdr:style>
      </xdr:cxnSp>
      <xdr:sp macro="" textlink="">
        <xdr:nvSpPr>
          <xdr:cNvPr id="6995" name="VBA_Baricentro_QText_13">
            <a:extLst>
              <a:ext uri="{FF2B5EF4-FFF2-40B4-BE49-F238E27FC236}">
                <a16:creationId xmlns:a16="http://schemas.microsoft.com/office/drawing/2014/main" id="{00000000-0008-0000-0500-0000531B0000}"/>
              </a:ext>
            </a:extLst>
          </xdr:cNvPr>
          <xdr:cNvSpPr txBox="1"/>
        </xdr:nvSpPr>
        <xdr:spPr>
          <a:xfrm>
            <a:off x="3060700" y="51377710"/>
            <a:ext cx="889000" cy="152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ctr"/>
          <a:lstStyle/>
          <a:p>
            <a:pPr algn="r"/>
            <a:r>
              <a:rPr lang="it-IT" sz="750" b="1">
                <a:solidFill>
                  <a:srgbClr val="282828"/>
                </a:solidFill>
                <a:latin typeface="Calibri" panose="020F0502020204030204" pitchFamily="34" charset="0"/>
              </a:rPr>
              <a:t>a=170mm</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476250</xdr:colOff>
      <xdr:row>509</xdr:row>
      <xdr:rowOff>9525</xdr:rowOff>
    </xdr:from>
    <xdr:to>
      <xdr:col>5</xdr:col>
      <xdr:colOff>142875</xdr:colOff>
      <xdr:row>514</xdr:row>
      <xdr:rowOff>9525</xdr:rowOff>
    </xdr:to>
    <xdr:sp macro="" textlink="">
      <xdr:nvSpPr>
        <xdr:cNvPr id="2" name="Parentesi graffa chiusa 1">
          <a:extLst>
            <a:ext uri="{FF2B5EF4-FFF2-40B4-BE49-F238E27FC236}">
              <a16:creationId xmlns:a16="http://schemas.microsoft.com/office/drawing/2014/main" id="{00000000-0008-0000-0600-000002000000}"/>
            </a:ext>
          </a:extLst>
        </xdr:cNvPr>
        <xdr:cNvSpPr>
          <a:spLocks/>
        </xdr:cNvSpPr>
      </xdr:nvSpPr>
      <xdr:spPr bwMode="auto">
        <a:xfrm>
          <a:off x="2752725" y="93916500"/>
          <a:ext cx="219075" cy="809625"/>
        </a:xfrm>
        <a:prstGeom prst="rightBrace">
          <a:avLst>
            <a:gd name="adj1" fmla="val 913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552450</xdr:colOff>
      <xdr:row>566</xdr:row>
      <xdr:rowOff>28575</xdr:rowOff>
    </xdr:from>
    <xdr:to>
      <xdr:col>5</xdr:col>
      <xdr:colOff>209550</xdr:colOff>
      <xdr:row>572</xdr:row>
      <xdr:rowOff>142875</xdr:rowOff>
    </xdr:to>
    <xdr:sp macro="" textlink="">
      <xdr:nvSpPr>
        <xdr:cNvPr id="3" name="Parentesi graffa chiusa 2">
          <a:extLst>
            <a:ext uri="{FF2B5EF4-FFF2-40B4-BE49-F238E27FC236}">
              <a16:creationId xmlns:a16="http://schemas.microsoft.com/office/drawing/2014/main" id="{00000000-0008-0000-0600-000003000000}"/>
            </a:ext>
          </a:extLst>
        </xdr:cNvPr>
        <xdr:cNvSpPr>
          <a:spLocks/>
        </xdr:cNvSpPr>
      </xdr:nvSpPr>
      <xdr:spPr bwMode="auto">
        <a:xfrm>
          <a:off x="2828925" y="103193850"/>
          <a:ext cx="209550" cy="1085850"/>
        </a:xfrm>
        <a:prstGeom prst="rightBrace">
          <a:avLst>
            <a:gd name="adj1" fmla="val 959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637</xdr:row>
      <xdr:rowOff>9525</xdr:rowOff>
    </xdr:from>
    <xdr:to>
      <xdr:col>5</xdr:col>
      <xdr:colOff>161925</xdr:colOff>
      <xdr:row>642</xdr:row>
      <xdr:rowOff>9525</xdr:rowOff>
    </xdr:to>
    <xdr:sp macro="" textlink="">
      <xdr:nvSpPr>
        <xdr:cNvPr id="4" name="Parentesi graffa chiusa 140">
          <a:extLst>
            <a:ext uri="{FF2B5EF4-FFF2-40B4-BE49-F238E27FC236}">
              <a16:creationId xmlns:a16="http://schemas.microsoft.com/office/drawing/2014/main" id="{00000000-0008-0000-0600-000004000000}"/>
            </a:ext>
          </a:extLst>
        </xdr:cNvPr>
        <xdr:cNvSpPr>
          <a:spLocks/>
        </xdr:cNvSpPr>
      </xdr:nvSpPr>
      <xdr:spPr bwMode="auto">
        <a:xfrm>
          <a:off x="2781300" y="114881025"/>
          <a:ext cx="209550" cy="809625"/>
        </a:xfrm>
        <a:prstGeom prst="rightBrace">
          <a:avLst>
            <a:gd name="adj1" fmla="val 9641"/>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557487</xdr:colOff>
      <xdr:row>702</xdr:row>
      <xdr:rowOff>44822</xdr:rowOff>
    </xdr:from>
    <xdr:to>
      <xdr:col>5</xdr:col>
      <xdr:colOff>214587</xdr:colOff>
      <xdr:row>709</xdr:row>
      <xdr:rowOff>2241</xdr:rowOff>
    </xdr:to>
    <xdr:sp macro="" textlink="">
      <xdr:nvSpPr>
        <xdr:cNvPr id="5" name="Parentesi graffa chiusa 2">
          <a:extLst>
            <a:ext uri="{FF2B5EF4-FFF2-40B4-BE49-F238E27FC236}">
              <a16:creationId xmlns:a16="http://schemas.microsoft.com/office/drawing/2014/main" id="{00000000-0008-0000-0600-000005000000}"/>
            </a:ext>
          </a:extLst>
        </xdr:cNvPr>
        <xdr:cNvSpPr>
          <a:spLocks/>
        </xdr:cNvSpPr>
      </xdr:nvSpPr>
      <xdr:spPr bwMode="auto">
        <a:xfrm>
          <a:off x="2824437" y="125470022"/>
          <a:ext cx="219075" cy="1090894"/>
        </a:xfrm>
        <a:prstGeom prst="rightBrace">
          <a:avLst>
            <a:gd name="adj1" fmla="val 959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776</xdr:row>
      <xdr:rowOff>9525</xdr:rowOff>
    </xdr:from>
    <xdr:to>
      <xdr:col>5</xdr:col>
      <xdr:colOff>161925</xdr:colOff>
      <xdr:row>781</xdr:row>
      <xdr:rowOff>9525</xdr:rowOff>
    </xdr:to>
    <xdr:sp macro="" textlink="">
      <xdr:nvSpPr>
        <xdr:cNvPr id="6" name="Parentesi graffa chiusa 140">
          <a:extLst>
            <a:ext uri="{FF2B5EF4-FFF2-40B4-BE49-F238E27FC236}">
              <a16:creationId xmlns:a16="http://schemas.microsoft.com/office/drawing/2014/main" id="{00000000-0008-0000-0600-000006000000}"/>
            </a:ext>
          </a:extLst>
        </xdr:cNvPr>
        <xdr:cNvSpPr>
          <a:spLocks/>
        </xdr:cNvSpPr>
      </xdr:nvSpPr>
      <xdr:spPr bwMode="auto">
        <a:xfrm>
          <a:off x="2781300" y="137702925"/>
          <a:ext cx="209550" cy="809625"/>
        </a:xfrm>
        <a:prstGeom prst="rightBrace">
          <a:avLst>
            <a:gd name="adj1" fmla="val 9641"/>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557487</xdr:colOff>
      <xdr:row>830</xdr:row>
      <xdr:rowOff>44822</xdr:rowOff>
    </xdr:from>
    <xdr:to>
      <xdr:col>5</xdr:col>
      <xdr:colOff>214587</xdr:colOff>
      <xdr:row>837</xdr:row>
      <xdr:rowOff>2241</xdr:rowOff>
    </xdr:to>
    <xdr:sp macro="" textlink="">
      <xdr:nvSpPr>
        <xdr:cNvPr id="7" name="Parentesi graffa chiusa 2">
          <a:extLst>
            <a:ext uri="{FF2B5EF4-FFF2-40B4-BE49-F238E27FC236}">
              <a16:creationId xmlns:a16="http://schemas.microsoft.com/office/drawing/2014/main" id="{00000000-0008-0000-0600-000007000000}"/>
            </a:ext>
          </a:extLst>
        </xdr:cNvPr>
        <xdr:cNvSpPr>
          <a:spLocks/>
        </xdr:cNvSpPr>
      </xdr:nvSpPr>
      <xdr:spPr bwMode="auto">
        <a:xfrm>
          <a:off x="2824437" y="146510747"/>
          <a:ext cx="219075" cy="1090894"/>
        </a:xfrm>
        <a:prstGeom prst="rightBrace">
          <a:avLst>
            <a:gd name="adj1" fmla="val 959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38099</xdr:colOff>
      <xdr:row>33</xdr:row>
      <xdr:rowOff>0</xdr:rowOff>
    </xdr:from>
    <xdr:to>
      <xdr:col>7</xdr:col>
      <xdr:colOff>581024</xdr:colOff>
      <xdr:row>35</xdr:row>
      <xdr:rowOff>28575</xdr:rowOff>
    </xdr:to>
    <xdr:sp macro="" textlink="">
      <xdr:nvSpPr>
        <xdr:cNvPr id="8" name="Rettangolo 7">
          <a:extLst>
            <a:ext uri="{FF2B5EF4-FFF2-40B4-BE49-F238E27FC236}">
              <a16:creationId xmlns:a16="http://schemas.microsoft.com/office/drawing/2014/main" id="{00000000-0008-0000-0600-000008000000}"/>
            </a:ext>
          </a:extLst>
        </xdr:cNvPr>
        <xdr:cNvSpPr/>
      </xdr:nvSpPr>
      <xdr:spPr>
        <a:xfrm>
          <a:off x="38099" y="5543550"/>
          <a:ext cx="4695825" cy="352425"/>
        </a:xfrm>
        <a:prstGeom prst="rect">
          <a:avLst/>
        </a:prstGeom>
        <a:solidFill>
          <a:schemeClr val="tx1">
            <a:lumMod val="50000"/>
            <a:lumOff val="50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it-IT" sz="1400" b="1">
              <a:latin typeface="Arial" pitchFamily="34" charset="0"/>
              <a:cs typeface="Arial" pitchFamily="34" charset="0"/>
            </a:rPr>
            <a:t>RELAZIONE DI CALCOLO STRUTTURALE</a:t>
          </a:r>
        </a:p>
      </xdr:txBody>
    </xdr:sp>
    <xdr:clientData/>
  </xdr:twoCellAnchor>
  <xdr:twoCellAnchor>
    <xdr:from>
      <xdr:col>0</xdr:col>
      <xdr:colOff>0</xdr:colOff>
      <xdr:row>116</xdr:row>
      <xdr:rowOff>44823</xdr:rowOff>
    </xdr:from>
    <xdr:to>
      <xdr:col>7</xdr:col>
      <xdr:colOff>542925</xdr:colOff>
      <xdr:row>117</xdr:row>
      <xdr:rowOff>140073</xdr:rowOff>
    </xdr:to>
    <xdr:sp macro="" textlink="">
      <xdr:nvSpPr>
        <xdr:cNvPr id="9" name="Rettangolo 8">
          <a:extLst>
            <a:ext uri="{FF2B5EF4-FFF2-40B4-BE49-F238E27FC236}">
              <a16:creationId xmlns:a16="http://schemas.microsoft.com/office/drawing/2014/main" id="{00000000-0008-0000-0600-000009000000}"/>
            </a:ext>
          </a:extLst>
        </xdr:cNvPr>
        <xdr:cNvSpPr/>
      </xdr:nvSpPr>
      <xdr:spPr>
        <a:xfrm>
          <a:off x="0" y="19418673"/>
          <a:ext cx="4695825" cy="257175"/>
        </a:xfrm>
        <a:prstGeom prst="rect">
          <a:avLst/>
        </a:prstGeom>
        <a:solidFill>
          <a:schemeClr val="tx1">
            <a:lumMod val="50000"/>
            <a:lumOff val="50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100" b="1">
              <a:latin typeface="Arial" pitchFamily="34" charset="0"/>
              <a:cs typeface="Arial" pitchFamily="34" charset="0"/>
            </a:rPr>
            <a:t>VERIFICA DEGLI ELEMENTI E DELLA CONNESSIONE</a:t>
          </a:r>
        </a:p>
      </xdr:txBody>
    </xdr:sp>
    <xdr:clientData/>
  </xdr:twoCellAnchor>
  <xdr:twoCellAnchor editAs="oneCell">
    <xdr:from>
      <xdr:col>0</xdr:col>
      <xdr:colOff>495300</xdr:colOff>
      <xdr:row>1077</xdr:row>
      <xdr:rowOff>66675</xdr:rowOff>
    </xdr:from>
    <xdr:to>
      <xdr:col>7</xdr:col>
      <xdr:colOff>503064</xdr:colOff>
      <xdr:row>1087</xdr:row>
      <xdr:rowOff>66675</xdr:rowOff>
    </xdr:to>
    <xdr:pic>
      <xdr:nvPicPr>
        <xdr:cNvPr id="10" name="Immagine 9" hidden="1">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cstate="print"/>
        <a:stretch>
          <a:fillRect/>
        </a:stretch>
      </xdr:blipFill>
      <xdr:spPr>
        <a:xfrm>
          <a:off x="0" y="190414275"/>
          <a:ext cx="5046489" cy="195690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609600</xdr:colOff>
          <xdr:row>233</xdr:row>
          <xdr:rowOff>114300</xdr:rowOff>
        </xdr:from>
        <xdr:to>
          <xdr:col>4</xdr:col>
          <xdr:colOff>152400</xdr:colOff>
          <xdr:row>233</xdr:row>
          <xdr:rowOff>381000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600-000001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FFFF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1095375</xdr:colOff>
          <xdr:row>280</xdr:row>
          <xdr:rowOff>95250</xdr:rowOff>
        </xdr:from>
        <xdr:to>
          <xdr:col>5</xdr:col>
          <xdr:colOff>390525</xdr:colOff>
          <xdr:row>282</xdr:row>
          <xdr:rowOff>47625</xdr:rowOff>
        </xdr:to>
        <xdr:sp macro="" textlink="">
          <xdr:nvSpPr>
            <xdr:cNvPr id="19458" name="Object 2" hidden="1">
              <a:extLst>
                <a:ext uri="{63B3BB69-23CF-44E3-9099-C40C66FF867C}">
                  <a14:compatExt spid="_x0000_s19458"/>
                </a:ext>
                <a:ext uri="{FF2B5EF4-FFF2-40B4-BE49-F238E27FC236}">
                  <a16:creationId xmlns:a16="http://schemas.microsoft.com/office/drawing/2014/main" id="{00000000-0008-0000-0600-000002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287</xdr:row>
          <xdr:rowOff>95250</xdr:rowOff>
        </xdr:from>
        <xdr:to>
          <xdr:col>5</xdr:col>
          <xdr:colOff>133350</xdr:colOff>
          <xdr:row>291</xdr:row>
          <xdr:rowOff>47625</xdr:rowOff>
        </xdr:to>
        <xdr:sp macro="" textlink="">
          <xdr:nvSpPr>
            <xdr:cNvPr id="19459" name="Object 3" hidden="1">
              <a:extLst>
                <a:ext uri="{63B3BB69-23CF-44E3-9099-C40C66FF867C}">
                  <a14:compatExt spid="_x0000_s19459"/>
                </a:ext>
                <a:ext uri="{FF2B5EF4-FFF2-40B4-BE49-F238E27FC236}">
                  <a16:creationId xmlns:a16="http://schemas.microsoft.com/office/drawing/2014/main" id="{00000000-0008-0000-0600-000003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292</xdr:row>
          <xdr:rowOff>9525</xdr:rowOff>
        </xdr:from>
        <xdr:to>
          <xdr:col>5</xdr:col>
          <xdr:colOff>47625</xdr:colOff>
          <xdr:row>295</xdr:row>
          <xdr:rowOff>57150</xdr:rowOff>
        </xdr:to>
        <xdr:sp macro="" textlink="">
          <xdr:nvSpPr>
            <xdr:cNvPr id="19460" name="Object 4" hidden="1">
              <a:extLst>
                <a:ext uri="{63B3BB69-23CF-44E3-9099-C40C66FF867C}">
                  <a14:compatExt spid="_x0000_s19460"/>
                </a:ext>
                <a:ext uri="{FF2B5EF4-FFF2-40B4-BE49-F238E27FC236}">
                  <a16:creationId xmlns:a16="http://schemas.microsoft.com/office/drawing/2014/main" id="{00000000-0008-0000-0600-000004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298</xdr:row>
          <xdr:rowOff>142875</xdr:rowOff>
        </xdr:from>
        <xdr:to>
          <xdr:col>5</xdr:col>
          <xdr:colOff>104775</xdr:colOff>
          <xdr:row>300</xdr:row>
          <xdr:rowOff>66675</xdr:rowOff>
        </xdr:to>
        <xdr:sp macro="" textlink="">
          <xdr:nvSpPr>
            <xdr:cNvPr id="19461" name="Object 5" hidden="1">
              <a:extLst>
                <a:ext uri="{63B3BB69-23CF-44E3-9099-C40C66FF867C}">
                  <a14:compatExt spid="_x0000_s19461"/>
                </a:ext>
                <a:ext uri="{FF2B5EF4-FFF2-40B4-BE49-F238E27FC236}">
                  <a16:creationId xmlns:a16="http://schemas.microsoft.com/office/drawing/2014/main" id="{00000000-0008-0000-0600-000005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301</xdr:row>
          <xdr:rowOff>114300</xdr:rowOff>
        </xdr:from>
        <xdr:to>
          <xdr:col>5</xdr:col>
          <xdr:colOff>428625</xdr:colOff>
          <xdr:row>303</xdr:row>
          <xdr:rowOff>66675</xdr:rowOff>
        </xdr:to>
        <xdr:sp macro="" textlink="">
          <xdr:nvSpPr>
            <xdr:cNvPr id="19462" name="Object 6" hidden="1">
              <a:extLst>
                <a:ext uri="{63B3BB69-23CF-44E3-9099-C40C66FF867C}">
                  <a14:compatExt spid="_x0000_s19462"/>
                </a:ext>
                <a:ext uri="{FF2B5EF4-FFF2-40B4-BE49-F238E27FC236}">
                  <a16:creationId xmlns:a16="http://schemas.microsoft.com/office/drawing/2014/main" id="{00000000-0008-0000-0600-000006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307</xdr:row>
          <xdr:rowOff>38100</xdr:rowOff>
        </xdr:from>
        <xdr:to>
          <xdr:col>5</xdr:col>
          <xdr:colOff>514350</xdr:colOff>
          <xdr:row>311</xdr:row>
          <xdr:rowOff>0</xdr:rowOff>
        </xdr:to>
        <xdr:sp macro="" textlink="">
          <xdr:nvSpPr>
            <xdr:cNvPr id="19463" name="Object 7" hidden="1">
              <a:extLst>
                <a:ext uri="{63B3BB69-23CF-44E3-9099-C40C66FF867C}">
                  <a14:compatExt spid="_x0000_s19463"/>
                </a:ext>
                <a:ext uri="{FF2B5EF4-FFF2-40B4-BE49-F238E27FC236}">
                  <a16:creationId xmlns:a16="http://schemas.microsoft.com/office/drawing/2014/main" id="{00000000-0008-0000-0600-000007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476</xdr:row>
          <xdr:rowOff>152400</xdr:rowOff>
        </xdr:from>
        <xdr:to>
          <xdr:col>5</xdr:col>
          <xdr:colOff>38100</xdr:colOff>
          <xdr:row>480</xdr:row>
          <xdr:rowOff>9525</xdr:rowOff>
        </xdr:to>
        <xdr:sp macro="" textlink="">
          <xdr:nvSpPr>
            <xdr:cNvPr id="19464" name="Object 8" hidden="1">
              <a:extLst>
                <a:ext uri="{63B3BB69-23CF-44E3-9099-C40C66FF867C}">
                  <a14:compatExt spid="_x0000_s19464"/>
                </a:ext>
                <a:ext uri="{FF2B5EF4-FFF2-40B4-BE49-F238E27FC236}">
                  <a16:creationId xmlns:a16="http://schemas.microsoft.com/office/drawing/2014/main" id="{00000000-0008-0000-0600-000008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482</xdr:row>
          <xdr:rowOff>152400</xdr:rowOff>
        </xdr:from>
        <xdr:to>
          <xdr:col>5</xdr:col>
          <xdr:colOff>0</xdr:colOff>
          <xdr:row>486</xdr:row>
          <xdr:rowOff>47625</xdr:rowOff>
        </xdr:to>
        <xdr:sp macro="" textlink="">
          <xdr:nvSpPr>
            <xdr:cNvPr id="19465" name="Object 9" hidden="1">
              <a:extLst>
                <a:ext uri="{63B3BB69-23CF-44E3-9099-C40C66FF867C}">
                  <a14:compatExt spid="_x0000_s19465"/>
                </a:ext>
                <a:ext uri="{FF2B5EF4-FFF2-40B4-BE49-F238E27FC236}">
                  <a16:creationId xmlns:a16="http://schemas.microsoft.com/office/drawing/2014/main" id="{00000000-0008-0000-0600-000009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538</xdr:row>
          <xdr:rowOff>114300</xdr:rowOff>
        </xdr:from>
        <xdr:to>
          <xdr:col>5</xdr:col>
          <xdr:colOff>9525</xdr:colOff>
          <xdr:row>541</xdr:row>
          <xdr:rowOff>133350</xdr:rowOff>
        </xdr:to>
        <xdr:sp macro="" textlink="">
          <xdr:nvSpPr>
            <xdr:cNvPr id="19466" name="Object 10" hidden="1">
              <a:extLst>
                <a:ext uri="{63B3BB69-23CF-44E3-9099-C40C66FF867C}">
                  <a14:compatExt spid="_x0000_s19466"/>
                </a:ext>
                <a:ext uri="{FF2B5EF4-FFF2-40B4-BE49-F238E27FC236}">
                  <a16:creationId xmlns:a16="http://schemas.microsoft.com/office/drawing/2014/main" id="{00000000-0008-0000-0600-00000A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544</xdr:row>
          <xdr:rowOff>19050</xdr:rowOff>
        </xdr:from>
        <xdr:to>
          <xdr:col>5</xdr:col>
          <xdr:colOff>38100</xdr:colOff>
          <xdr:row>547</xdr:row>
          <xdr:rowOff>76200</xdr:rowOff>
        </xdr:to>
        <xdr:sp macro="" textlink="">
          <xdr:nvSpPr>
            <xdr:cNvPr id="19467" name="Object 11" hidden="1">
              <a:extLst>
                <a:ext uri="{63B3BB69-23CF-44E3-9099-C40C66FF867C}">
                  <a14:compatExt spid="_x0000_s19467"/>
                </a:ext>
                <a:ext uri="{FF2B5EF4-FFF2-40B4-BE49-F238E27FC236}">
                  <a16:creationId xmlns:a16="http://schemas.microsoft.com/office/drawing/2014/main" id="{00000000-0008-0000-0600-00000B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549</xdr:row>
          <xdr:rowOff>152400</xdr:rowOff>
        </xdr:from>
        <xdr:to>
          <xdr:col>4</xdr:col>
          <xdr:colOff>514350</xdr:colOff>
          <xdr:row>553</xdr:row>
          <xdr:rowOff>38100</xdr:rowOff>
        </xdr:to>
        <xdr:sp macro="" textlink="">
          <xdr:nvSpPr>
            <xdr:cNvPr id="19468" name="Object 12" hidden="1">
              <a:extLst>
                <a:ext uri="{63B3BB69-23CF-44E3-9099-C40C66FF867C}">
                  <a14:compatExt spid="_x0000_s19468"/>
                </a:ext>
                <a:ext uri="{FF2B5EF4-FFF2-40B4-BE49-F238E27FC236}">
                  <a16:creationId xmlns:a16="http://schemas.microsoft.com/office/drawing/2014/main" id="{00000000-0008-0000-0600-00000C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553</xdr:row>
          <xdr:rowOff>9525</xdr:rowOff>
        </xdr:from>
        <xdr:to>
          <xdr:col>4</xdr:col>
          <xdr:colOff>533400</xdr:colOff>
          <xdr:row>556</xdr:row>
          <xdr:rowOff>9525</xdr:rowOff>
        </xdr:to>
        <xdr:sp macro="" textlink="">
          <xdr:nvSpPr>
            <xdr:cNvPr id="19469" name="Object 13" hidden="1">
              <a:extLst>
                <a:ext uri="{63B3BB69-23CF-44E3-9099-C40C66FF867C}">
                  <a14:compatExt spid="_x0000_s19469"/>
                </a:ext>
                <a:ext uri="{FF2B5EF4-FFF2-40B4-BE49-F238E27FC236}">
                  <a16:creationId xmlns:a16="http://schemas.microsoft.com/office/drawing/2014/main" id="{00000000-0008-0000-0600-00000D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1200150</xdr:colOff>
          <xdr:row>560</xdr:row>
          <xdr:rowOff>9525</xdr:rowOff>
        </xdr:from>
        <xdr:to>
          <xdr:col>3</xdr:col>
          <xdr:colOff>485775</xdr:colOff>
          <xdr:row>563</xdr:row>
          <xdr:rowOff>19050</xdr:rowOff>
        </xdr:to>
        <xdr:sp macro="" textlink="">
          <xdr:nvSpPr>
            <xdr:cNvPr id="19470" name="Object 14" hidden="1">
              <a:extLst>
                <a:ext uri="{63B3BB69-23CF-44E3-9099-C40C66FF867C}">
                  <a14:compatExt spid="_x0000_s19470"/>
                </a:ext>
                <a:ext uri="{FF2B5EF4-FFF2-40B4-BE49-F238E27FC236}">
                  <a16:creationId xmlns:a16="http://schemas.microsoft.com/office/drawing/2014/main" id="{00000000-0008-0000-0600-00000E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573</xdr:row>
          <xdr:rowOff>123825</xdr:rowOff>
        </xdr:from>
        <xdr:to>
          <xdr:col>6</xdr:col>
          <xdr:colOff>57150</xdr:colOff>
          <xdr:row>575</xdr:row>
          <xdr:rowOff>57150</xdr:rowOff>
        </xdr:to>
        <xdr:sp macro="" textlink="">
          <xdr:nvSpPr>
            <xdr:cNvPr id="19471" name="Object 15" hidden="1">
              <a:extLst>
                <a:ext uri="{63B3BB69-23CF-44E3-9099-C40C66FF867C}">
                  <a14:compatExt spid="_x0000_s19471"/>
                </a:ext>
                <a:ext uri="{FF2B5EF4-FFF2-40B4-BE49-F238E27FC236}">
                  <a16:creationId xmlns:a16="http://schemas.microsoft.com/office/drawing/2014/main" id="{00000000-0008-0000-0600-00000F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580</xdr:row>
          <xdr:rowOff>142875</xdr:rowOff>
        </xdr:from>
        <xdr:to>
          <xdr:col>4</xdr:col>
          <xdr:colOff>514350</xdr:colOff>
          <xdr:row>584</xdr:row>
          <xdr:rowOff>85725</xdr:rowOff>
        </xdr:to>
        <xdr:sp macro="" textlink="">
          <xdr:nvSpPr>
            <xdr:cNvPr id="19472" name="Object 16" hidden="1">
              <a:extLst>
                <a:ext uri="{63B3BB69-23CF-44E3-9099-C40C66FF867C}">
                  <a14:compatExt spid="_x0000_s19472"/>
                </a:ext>
                <a:ext uri="{FF2B5EF4-FFF2-40B4-BE49-F238E27FC236}">
                  <a16:creationId xmlns:a16="http://schemas.microsoft.com/office/drawing/2014/main" id="{00000000-0008-0000-0600-000010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586</xdr:row>
          <xdr:rowOff>9525</xdr:rowOff>
        </xdr:from>
        <xdr:to>
          <xdr:col>5</xdr:col>
          <xdr:colOff>142875</xdr:colOff>
          <xdr:row>588</xdr:row>
          <xdr:rowOff>133350</xdr:rowOff>
        </xdr:to>
        <xdr:sp macro="" textlink="">
          <xdr:nvSpPr>
            <xdr:cNvPr id="19473" name="Object 17" hidden="1">
              <a:extLst>
                <a:ext uri="{63B3BB69-23CF-44E3-9099-C40C66FF867C}">
                  <a14:compatExt spid="_x0000_s19473"/>
                </a:ext>
                <a:ext uri="{FF2B5EF4-FFF2-40B4-BE49-F238E27FC236}">
                  <a16:creationId xmlns:a16="http://schemas.microsoft.com/office/drawing/2014/main" id="{00000000-0008-0000-0600-000011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597</xdr:row>
          <xdr:rowOff>57150</xdr:rowOff>
        </xdr:from>
        <xdr:to>
          <xdr:col>6</xdr:col>
          <xdr:colOff>0</xdr:colOff>
          <xdr:row>598</xdr:row>
          <xdr:rowOff>142875</xdr:rowOff>
        </xdr:to>
        <xdr:sp macro="" textlink="">
          <xdr:nvSpPr>
            <xdr:cNvPr id="19474" name="Object 18" hidden="1">
              <a:extLst>
                <a:ext uri="{63B3BB69-23CF-44E3-9099-C40C66FF867C}">
                  <a14:compatExt spid="_x0000_s19474"/>
                </a:ext>
                <a:ext uri="{FF2B5EF4-FFF2-40B4-BE49-F238E27FC236}">
                  <a16:creationId xmlns:a16="http://schemas.microsoft.com/office/drawing/2014/main" id="{00000000-0008-0000-0600-000012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828675</xdr:colOff>
          <xdr:row>893</xdr:row>
          <xdr:rowOff>104775</xdr:rowOff>
        </xdr:from>
        <xdr:to>
          <xdr:col>5</xdr:col>
          <xdr:colOff>123825</xdr:colOff>
          <xdr:row>895</xdr:row>
          <xdr:rowOff>38100</xdr:rowOff>
        </xdr:to>
        <xdr:sp macro="" textlink="">
          <xdr:nvSpPr>
            <xdr:cNvPr id="19475" name="Object 19" hidden="1">
              <a:extLst>
                <a:ext uri="{63B3BB69-23CF-44E3-9099-C40C66FF867C}">
                  <a14:compatExt spid="_x0000_s19475"/>
                </a:ext>
                <a:ext uri="{FF2B5EF4-FFF2-40B4-BE49-F238E27FC236}">
                  <a16:creationId xmlns:a16="http://schemas.microsoft.com/office/drawing/2014/main" id="{00000000-0008-0000-0600-000013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899</xdr:row>
          <xdr:rowOff>85725</xdr:rowOff>
        </xdr:from>
        <xdr:to>
          <xdr:col>5</xdr:col>
          <xdr:colOff>66675</xdr:colOff>
          <xdr:row>903</xdr:row>
          <xdr:rowOff>57150</xdr:rowOff>
        </xdr:to>
        <xdr:sp macro="" textlink="">
          <xdr:nvSpPr>
            <xdr:cNvPr id="19476" name="Object 20" hidden="1">
              <a:extLst>
                <a:ext uri="{63B3BB69-23CF-44E3-9099-C40C66FF867C}">
                  <a14:compatExt spid="_x0000_s19476"/>
                </a:ext>
                <a:ext uri="{FF2B5EF4-FFF2-40B4-BE49-F238E27FC236}">
                  <a16:creationId xmlns:a16="http://schemas.microsoft.com/office/drawing/2014/main" id="{00000000-0008-0000-0600-000014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904</xdr:row>
          <xdr:rowOff>9525</xdr:rowOff>
        </xdr:from>
        <xdr:to>
          <xdr:col>5</xdr:col>
          <xdr:colOff>57150</xdr:colOff>
          <xdr:row>907</xdr:row>
          <xdr:rowOff>57150</xdr:rowOff>
        </xdr:to>
        <xdr:sp macro="" textlink="">
          <xdr:nvSpPr>
            <xdr:cNvPr id="19477" name="Object 21" hidden="1">
              <a:extLst>
                <a:ext uri="{63B3BB69-23CF-44E3-9099-C40C66FF867C}">
                  <a14:compatExt spid="_x0000_s19477"/>
                </a:ext>
                <a:ext uri="{FF2B5EF4-FFF2-40B4-BE49-F238E27FC236}">
                  <a16:creationId xmlns:a16="http://schemas.microsoft.com/office/drawing/2014/main" id="{00000000-0008-0000-0600-000015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908</xdr:row>
          <xdr:rowOff>0</xdr:rowOff>
        </xdr:from>
        <xdr:to>
          <xdr:col>5</xdr:col>
          <xdr:colOff>47625</xdr:colOff>
          <xdr:row>909</xdr:row>
          <xdr:rowOff>85725</xdr:rowOff>
        </xdr:to>
        <xdr:sp macro="" textlink="">
          <xdr:nvSpPr>
            <xdr:cNvPr id="19478" name="Object 22" hidden="1">
              <a:extLst>
                <a:ext uri="{63B3BB69-23CF-44E3-9099-C40C66FF867C}">
                  <a14:compatExt spid="_x0000_s19478"/>
                </a:ext>
                <a:ext uri="{FF2B5EF4-FFF2-40B4-BE49-F238E27FC236}">
                  <a16:creationId xmlns:a16="http://schemas.microsoft.com/office/drawing/2014/main" id="{00000000-0008-0000-0600-000016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973</xdr:row>
          <xdr:rowOff>57150</xdr:rowOff>
        </xdr:from>
        <xdr:to>
          <xdr:col>4</xdr:col>
          <xdr:colOff>495300</xdr:colOff>
          <xdr:row>977</xdr:row>
          <xdr:rowOff>38100</xdr:rowOff>
        </xdr:to>
        <xdr:sp macro="" textlink="">
          <xdr:nvSpPr>
            <xdr:cNvPr id="19479" name="Object 23" hidden="1">
              <a:extLst>
                <a:ext uri="{63B3BB69-23CF-44E3-9099-C40C66FF867C}">
                  <a14:compatExt spid="_x0000_s19479"/>
                </a:ext>
                <a:ext uri="{FF2B5EF4-FFF2-40B4-BE49-F238E27FC236}">
                  <a16:creationId xmlns:a16="http://schemas.microsoft.com/office/drawing/2014/main" id="{00000000-0008-0000-0600-000017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981</xdr:row>
          <xdr:rowOff>114300</xdr:rowOff>
        </xdr:from>
        <xdr:to>
          <xdr:col>4</xdr:col>
          <xdr:colOff>457200</xdr:colOff>
          <xdr:row>983</xdr:row>
          <xdr:rowOff>38100</xdr:rowOff>
        </xdr:to>
        <xdr:sp macro="" textlink="">
          <xdr:nvSpPr>
            <xdr:cNvPr id="19480" name="Object 24" hidden="1">
              <a:extLst>
                <a:ext uri="{63B3BB69-23CF-44E3-9099-C40C66FF867C}">
                  <a14:compatExt spid="_x0000_s19480"/>
                </a:ext>
                <a:ext uri="{FF2B5EF4-FFF2-40B4-BE49-F238E27FC236}">
                  <a16:creationId xmlns:a16="http://schemas.microsoft.com/office/drawing/2014/main" id="{00000000-0008-0000-0600-000018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926</xdr:row>
          <xdr:rowOff>76200</xdr:rowOff>
        </xdr:from>
        <xdr:to>
          <xdr:col>5</xdr:col>
          <xdr:colOff>133350</xdr:colOff>
          <xdr:row>929</xdr:row>
          <xdr:rowOff>104775</xdr:rowOff>
        </xdr:to>
        <xdr:sp macro="" textlink="">
          <xdr:nvSpPr>
            <xdr:cNvPr id="19481" name="Object 25" hidden="1">
              <a:extLst>
                <a:ext uri="{63B3BB69-23CF-44E3-9099-C40C66FF867C}">
                  <a14:compatExt spid="_x0000_s19481"/>
                </a:ext>
                <a:ext uri="{FF2B5EF4-FFF2-40B4-BE49-F238E27FC236}">
                  <a16:creationId xmlns:a16="http://schemas.microsoft.com/office/drawing/2014/main" id="{00000000-0008-0000-0600-000019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931</xdr:row>
          <xdr:rowOff>133350</xdr:rowOff>
        </xdr:from>
        <xdr:to>
          <xdr:col>5</xdr:col>
          <xdr:colOff>114300</xdr:colOff>
          <xdr:row>935</xdr:row>
          <xdr:rowOff>9525</xdr:rowOff>
        </xdr:to>
        <xdr:sp macro="" textlink="">
          <xdr:nvSpPr>
            <xdr:cNvPr id="19482" name="Object 26" hidden="1">
              <a:extLst>
                <a:ext uri="{63B3BB69-23CF-44E3-9099-C40C66FF867C}">
                  <a14:compatExt spid="_x0000_s19482"/>
                </a:ext>
                <a:ext uri="{FF2B5EF4-FFF2-40B4-BE49-F238E27FC236}">
                  <a16:creationId xmlns:a16="http://schemas.microsoft.com/office/drawing/2014/main" id="{00000000-0008-0000-0600-00001A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997</xdr:row>
          <xdr:rowOff>57150</xdr:rowOff>
        </xdr:from>
        <xdr:to>
          <xdr:col>4</xdr:col>
          <xdr:colOff>466725</xdr:colOff>
          <xdr:row>1000</xdr:row>
          <xdr:rowOff>9525</xdr:rowOff>
        </xdr:to>
        <xdr:sp macro="" textlink="">
          <xdr:nvSpPr>
            <xdr:cNvPr id="19483" name="Object 27" hidden="1">
              <a:extLst>
                <a:ext uri="{63B3BB69-23CF-44E3-9099-C40C66FF867C}">
                  <a14:compatExt spid="_x0000_s19483"/>
                </a:ext>
                <a:ext uri="{FF2B5EF4-FFF2-40B4-BE49-F238E27FC236}">
                  <a16:creationId xmlns:a16="http://schemas.microsoft.com/office/drawing/2014/main" id="{00000000-0008-0000-0600-00001B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491</xdr:row>
          <xdr:rowOff>0</xdr:rowOff>
        </xdr:from>
        <xdr:to>
          <xdr:col>5</xdr:col>
          <xdr:colOff>0</xdr:colOff>
          <xdr:row>494</xdr:row>
          <xdr:rowOff>38100</xdr:rowOff>
        </xdr:to>
        <xdr:sp macro="" textlink="">
          <xdr:nvSpPr>
            <xdr:cNvPr id="19485" name="Object 29" hidden="1">
              <a:extLst>
                <a:ext uri="{63B3BB69-23CF-44E3-9099-C40C66FF867C}">
                  <a14:compatExt spid="_x0000_s19485"/>
                </a:ext>
                <a:ext uri="{FF2B5EF4-FFF2-40B4-BE49-F238E27FC236}">
                  <a16:creationId xmlns:a16="http://schemas.microsoft.com/office/drawing/2014/main" id="{00000000-0008-0000-0600-00001D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494</xdr:row>
          <xdr:rowOff>9525</xdr:rowOff>
        </xdr:from>
        <xdr:to>
          <xdr:col>5</xdr:col>
          <xdr:colOff>47625</xdr:colOff>
          <xdr:row>497</xdr:row>
          <xdr:rowOff>57150</xdr:rowOff>
        </xdr:to>
        <xdr:sp macro="" textlink="">
          <xdr:nvSpPr>
            <xdr:cNvPr id="19486" name="Object 30" hidden="1">
              <a:extLst>
                <a:ext uri="{63B3BB69-23CF-44E3-9099-C40C66FF867C}">
                  <a14:compatExt spid="_x0000_s19486"/>
                </a:ext>
                <a:ext uri="{FF2B5EF4-FFF2-40B4-BE49-F238E27FC236}">
                  <a16:creationId xmlns:a16="http://schemas.microsoft.com/office/drawing/2014/main" id="{00000000-0008-0000-0600-00001E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502</xdr:row>
          <xdr:rowOff>28575</xdr:rowOff>
        </xdr:from>
        <xdr:to>
          <xdr:col>4</xdr:col>
          <xdr:colOff>38100</xdr:colOff>
          <xdr:row>505</xdr:row>
          <xdr:rowOff>76200</xdr:rowOff>
        </xdr:to>
        <xdr:sp macro="" textlink="">
          <xdr:nvSpPr>
            <xdr:cNvPr id="19487" name="Object 31" hidden="1">
              <a:extLst>
                <a:ext uri="{63B3BB69-23CF-44E3-9099-C40C66FF867C}">
                  <a14:compatExt spid="_x0000_s19487"/>
                </a:ext>
                <a:ext uri="{FF2B5EF4-FFF2-40B4-BE49-F238E27FC236}">
                  <a16:creationId xmlns:a16="http://schemas.microsoft.com/office/drawing/2014/main" id="{00000000-0008-0000-0600-00001F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515</xdr:row>
          <xdr:rowOff>38100</xdr:rowOff>
        </xdr:from>
        <xdr:to>
          <xdr:col>4</xdr:col>
          <xdr:colOff>104775</xdr:colOff>
          <xdr:row>517</xdr:row>
          <xdr:rowOff>9525</xdr:rowOff>
        </xdr:to>
        <xdr:sp macro="" textlink="">
          <xdr:nvSpPr>
            <xdr:cNvPr id="19488" name="Object 32" hidden="1">
              <a:extLst>
                <a:ext uri="{63B3BB69-23CF-44E3-9099-C40C66FF867C}">
                  <a14:compatExt spid="_x0000_s19488"/>
                </a:ext>
                <a:ext uri="{FF2B5EF4-FFF2-40B4-BE49-F238E27FC236}">
                  <a16:creationId xmlns:a16="http://schemas.microsoft.com/office/drawing/2014/main" id="{00000000-0008-0000-0600-000020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708</xdr:row>
          <xdr:rowOff>123825</xdr:rowOff>
        </xdr:from>
        <xdr:to>
          <xdr:col>4</xdr:col>
          <xdr:colOff>257175</xdr:colOff>
          <xdr:row>711</xdr:row>
          <xdr:rowOff>9525</xdr:rowOff>
        </xdr:to>
        <xdr:sp macro="" textlink="">
          <xdr:nvSpPr>
            <xdr:cNvPr id="19489" name="Object 33" hidden="1">
              <a:extLst>
                <a:ext uri="{63B3BB69-23CF-44E3-9099-C40C66FF867C}">
                  <a14:compatExt spid="_x0000_s19489"/>
                </a:ext>
                <a:ext uri="{FF2B5EF4-FFF2-40B4-BE49-F238E27FC236}">
                  <a16:creationId xmlns:a16="http://schemas.microsoft.com/office/drawing/2014/main" id="{00000000-0008-0000-0600-000021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724</xdr:row>
          <xdr:rowOff>47625</xdr:rowOff>
        </xdr:from>
        <xdr:to>
          <xdr:col>5</xdr:col>
          <xdr:colOff>38100</xdr:colOff>
          <xdr:row>727</xdr:row>
          <xdr:rowOff>9525</xdr:rowOff>
        </xdr:to>
        <xdr:sp macro="" textlink="">
          <xdr:nvSpPr>
            <xdr:cNvPr id="19490" name="Object 34" hidden="1">
              <a:extLst>
                <a:ext uri="{63B3BB69-23CF-44E3-9099-C40C66FF867C}">
                  <a14:compatExt spid="_x0000_s19490"/>
                </a:ext>
                <a:ext uri="{FF2B5EF4-FFF2-40B4-BE49-F238E27FC236}">
                  <a16:creationId xmlns:a16="http://schemas.microsoft.com/office/drawing/2014/main" id="{00000000-0008-0000-0600-000022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1228725</xdr:colOff>
          <xdr:row>734</xdr:row>
          <xdr:rowOff>85725</xdr:rowOff>
        </xdr:from>
        <xdr:to>
          <xdr:col>3</xdr:col>
          <xdr:colOff>228600</xdr:colOff>
          <xdr:row>736</xdr:row>
          <xdr:rowOff>123825</xdr:rowOff>
        </xdr:to>
        <xdr:sp macro="" textlink="">
          <xdr:nvSpPr>
            <xdr:cNvPr id="19491" name="Object 35" hidden="1">
              <a:extLst>
                <a:ext uri="{63B3BB69-23CF-44E3-9099-C40C66FF867C}">
                  <a14:compatExt spid="_x0000_s19491"/>
                </a:ext>
                <a:ext uri="{FF2B5EF4-FFF2-40B4-BE49-F238E27FC236}">
                  <a16:creationId xmlns:a16="http://schemas.microsoft.com/office/drawing/2014/main" id="{00000000-0008-0000-0600-000023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657225</xdr:colOff>
          <xdr:row>630</xdr:row>
          <xdr:rowOff>47625</xdr:rowOff>
        </xdr:from>
        <xdr:to>
          <xdr:col>3</xdr:col>
          <xdr:colOff>257175</xdr:colOff>
          <xdr:row>634</xdr:row>
          <xdr:rowOff>0</xdr:rowOff>
        </xdr:to>
        <xdr:sp macro="" textlink="">
          <xdr:nvSpPr>
            <xdr:cNvPr id="19492" name="Object 36" hidden="1">
              <a:extLst>
                <a:ext uri="{63B3BB69-23CF-44E3-9099-C40C66FF867C}">
                  <a14:compatExt spid="_x0000_s19492"/>
                </a:ext>
                <a:ext uri="{FF2B5EF4-FFF2-40B4-BE49-F238E27FC236}">
                  <a16:creationId xmlns:a16="http://schemas.microsoft.com/office/drawing/2014/main" id="{00000000-0008-0000-0600-000024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645</xdr:row>
          <xdr:rowOff>123825</xdr:rowOff>
        </xdr:from>
        <xdr:to>
          <xdr:col>4</xdr:col>
          <xdr:colOff>257175</xdr:colOff>
          <xdr:row>648</xdr:row>
          <xdr:rowOff>9525</xdr:rowOff>
        </xdr:to>
        <xdr:sp macro="" textlink="">
          <xdr:nvSpPr>
            <xdr:cNvPr id="19493" name="Object 37" hidden="1">
              <a:extLst>
                <a:ext uri="{63B3BB69-23CF-44E3-9099-C40C66FF867C}">
                  <a14:compatExt spid="_x0000_s19493"/>
                </a:ext>
                <a:ext uri="{FF2B5EF4-FFF2-40B4-BE49-F238E27FC236}">
                  <a16:creationId xmlns:a16="http://schemas.microsoft.com/office/drawing/2014/main" id="{00000000-0008-0000-0600-000025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1019175</xdr:colOff>
          <xdr:row>368</xdr:row>
          <xdr:rowOff>95250</xdr:rowOff>
        </xdr:from>
        <xdr:to>
          <xdr:col>5</xdr:col>
          <xdr:colOff>314325</xdr:colOff>
          <xdr:row>370</xdr:row>
          <xdr:rowOff>38100</xdr:rowOff>
        </xdr:to>
        <xdr:sp macro="" textlink="">
          <xdr:nvSpPr>
            <xdr:cNvPr id="19494" name="Object 38" hidden="1">
              <a:extLst>
                <a:ext uri="{63B3BB69-23CF-44E3-9099-C40C66FF867C}">
                  <a14:compatExt spid="_x0000_s19494"/>
                </a:ext>
                <a:ext uri="{FF2B5EF4-FFF2-40B4-BE49-F238E27FC236}">
                  <a16:creationId xmlns:a16="http://schemas.microsoft.com/office/drawing/2014/main" id="{00000000-0008-0000-0600-000026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380</xdr:row>
          <xdr:rowOff>104775</xdr:rowOff>
        </xdr:from>
        <xdr:to>
          <xdr:col>4</xdr:col>
          <xdr:colOff>485775</xdr:colOff>
          <xdr:row>382</xdr:row>
          <xdr:rowOff>38100</xdr:rowOff>
        </xdr:to>
        <xdr:sp macro="" textlink="">
          <xdr:nvSpPr>
            <xdr:cNvPr id="19495" name="Object 39" hidden="1">
              <a:extLst>
                <a:ext uri="{63B3BB69-23CF-44E3-9099-C40C66FF867C}">
                  <a14:compatExt spid="_x0000_s19495"/>
                </a:ext>
                <a:ext uri="{FF2B5EF4-FFF2-40B4-BE49-F238E27FC236}">
                  <a16:creationId xmlns:a16="http://schemas.microsoft.com/office/drawing/2014/main" id="{00000000-0008-0000-0600-000027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325</xdr:row>
          <xdr:rowOff>9525</xdr:rowOff>
        </xdr:from>
        <xdr:to>
          <xdr:col>5</xdr:col>
          <xdr:colOff>123825</xdr:colOff>
          <xdr:row>328</xdr:row>
          <xdr:rowOff>38100</xdr:rowOff>
        </xdr:to>
        <xdr:sp macro="" textlink="">
          <xdr:nvSpPr>
            <xdr:cNvPr id="19496" name="Object 40" hidden="1">
              <a:extLst>
                <a:ext uri="{63B3BB69-23CF-44E3-9099-C40C66FF867C}">
                  <a14:compatExt spid="_x0000_s19496"/>
                </a:ext>
                <a:ext uri="{FF2B5EF4-FFF2-40B4-BE49-F238E27FC236}">
                  <a16:creationId xmlns:a16="http://schemas.microsoft.com/office/drawing/2014/main" id="{00000000-0008-0000-0600-000028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334</xdr:row>
          <xdr:rowOff>19050</xdr:rowOff>
        </xdr:from>
        <xdr:to>
          <xdr:col>5</xdr:col>
          <xdr:colOff>142875</xdr:colOff>
          <xdr:row>337</xdr:row>
          <xdr:rowOff>57150</xdr:rowOff>
        </xdr:to>
        <xdr:sp macro="" textlink="">
          <xdr:nvSpPr>
            <xdr:cNvPr id="19497" name="Object 41" hidden="1">
              <a:extLst>
                <a:ext uri="{63B3BB69-23CF-44E3-9099-C40C66FF867C}">
                  <a14:compatExt spid="_x0000_s19497"/>
                </a:ext>
                <a:ext uri="{FF2B5EF4-FFF2-40B4-BE49-F238E27FC236}">
                  <a16:creationId xmlns:a16="http://schemas.microsoft.com/office/drawing/2014/main" id="{00000000-0008-0000-0600-000029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316</xdr:row>
          <xdr:rowOff>9525</xdr:rowOff>
        </xdr:from>
        <xdr:to>
          <xdr:col>5</xdr:col>
          <xdr:colOff>104775</xdr:colOff>
          <xdr:row>319</xdr:row>
          <xdr:rowOff>38100</xdr:rowOff>
        </xdr:to>
        <xdr:sp macro="" textlink="">
          <xdr:nvSpPr>
            <xdr:cNvPr id="19498" name="Object 42" hidden="1">
              <a:extLst>
                <a:ext uri="{63B3BB69-23CF-44E3-9099-C40C66FF867C}">
                  <a14:compatExt spid="_x0000_s19498"/>
                </a:ext>
                <a:ext uri="{FF2B5EF4-FFF2-40B4-BE49-F238E27FC236}">
                  <a16:creationId xmlns:a16="http://schemas.microsoft.com/office/drawing/2014/main" id="{00000000-0008-0000-0600-00002A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581025</xdr:colOff>
          <xdr:row>235</xdr:row>
          <xdr:rowOff>152400</xdr:rowOff>
        </xdr:from>
        <xdr:to>
          <xdr:col>4</xdr:col>
          <xdr:colOff>133350</xdr:colOff>
          <xdr:row>235</xdr:row>
          <xdr:rowOff>419100</xdr:rowOff>
        </xdr:to>
        <xdr:sp macro="" textlink="">
          <xdr:nvSpPr>
            <xdr:cNvPr id="19499" name="Object 43" hidden="1">
              <a:extLst>
                <a:ext uri="{63B3BB69-23CF-44E3-9099-C40C66FF867C}">
                  <a14:compatExt spid="_x0000_s19499"/>
                </a:ext>
                <a:ext uri="{FF2B5EF4-FFF2-40B4-BE49-F238E27FC236}">
                  <a16:creationId xmlns:a16="http://schemas.microsoft.com/office/drawing/2014/main" id="{00000000-0008-0000-0600-00002B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FFFFFF"/>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238</xdr:row>
          <xdr:rowOff>28575</xdr:rowOff>
        </xdr:from>
        <xdr:to>
          <xdr:col>4</xdr:col>
          <xdr:colOff>209550</xdr:colOff>
          <xdr:row>239</xdr:row>
          <xdr:rowOff>333375</xdr:rowOff>
        </xdr:to>
        <xdr:sp macro="" textlink="">
          <xdr:nvSpPr>
            <xdr:cNvPr id="19500" name="Object 44" hidden="1">
              <a:extLst>
                <a:ext uri="{63B3BB69-23CF-44E3-9099-C40C66FF867C}">
                  <a14:compatExt spid="_x0000_s19500"/>
                </a:ext>
                <a:ext uri="{FF2B5EF4-FFF2-40B4-BE49-F238E27FC236}">
                  <a16:creationId xmlns:a16="http://schemas.microsoft.com/office/drawing/2014/main" id="{00000000-0008-0000-0600-00002C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239</xdr:row>
          <xdr:rowOff>38100</xdr:rowOff>
        </xdr:from>
        <xdr:to>
          <xdr:col>3</xdr:col>
          <xdr:colOff>438150</xdr:colOff>
          <xdr:row>239</xdr:row>
          <xdr:rowOff>438150</xdr:rowOff>
        </xdr:to>
        <xdr:sp macro="" textlink="">
          <xdr:nvSpPr>
            <xdr:cNvPr id="19501" name="Object 45" hidden="1">
              <a:extLst>
                <a:ext uri="{63B3BB69-23CF-44E3-9099-C40C66FF867C}">
                  <a14:compatExt spid="_x0000_s19501"/>
                </a:ext>
                <a:ext uri="{FF2B5EF4-FFF2-40B4-BE49-F238E27FC236}">
                  <a16:creationId xmlns:a16="http://schemas.microsoft.com/office/drawing/2014/main" id="{00000000-0008-0000-0600-00002D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276</xdr:row>
          <xdr:rowOff>47625</xdr:rowOff>
        </xdr:from>
        <xdr:to>
          <xdr:col>5</xdr:col>
          <xdr:colOff>66675</xdr:colOff>
          <xdr:row>278</xdr:row>
          <xdr:rowOff>142875</xdr:rowOff>
        </xdr:to>
        <xdr:sp macro="" textlink="">
          <xdr:nvSpPr>
            <xdr:cNvPr id="19502" name="Object 46" hidden="1">
              <a:extLst>
                <a:ext uri="{63B3BB69-23CF-44E3-9099-C40C66FF867C}">
                  <a14:compatExt spid="_x0000_s19502"/>
                </a:ext>
                <a:ext uri="{FF2B5EF4-FFF2-40B4-BE49-F238E27FC236}">
                  <a16:creationId xmlns:a16="http://schemas.microsoft.com/office/drawing/2014/main" id="{00000000-0008-0000-0600-00002E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376</xdr:row>
          <xdr:rowOff>142875</xdr:rowOff>
        </xdr:from>
        <xdr:to>
          <xdr:col>4</xdr:col>
          <xdr:colOff>438150</xdr:colOff>
          <xdr:row>380</xdr:row>
          <xdr:rowOff>38100</xdr:rowOff>
        </xdr:to>
        <xdr:sp macro="" textlink="">
          <xdr:nvSpPr>
            <xdr:cNvPr id="19503" name="Object 47" hidden="1">
              <a:extLst>
                <a:ext uri="{63B3BB69-23CF-44E3-9099-C40C66FF867C}">
                  <a14:compatExt spid="_x0000_s19503"/>
                </a:ext>
                <a:ext uri="{FF2B5EF4-FFF2-40B4-BE49-F238E27FC236}">
                  <a16:creationId xmlns:a16="http://schemas.microsoft.com/office/drawing/2014/main" id="{00000000-0008-0000-0600-00002F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638175</xdr:colOff>
          <xdr:row>569</xdr:row>
          <xdr:rowOff>19050</xdr:rowOff>
        </xdr:from>
        <xdr:to>
          <xdr:col>4</xdr:col>
          <xdr:colOff>504825</xdr:colOff>
          <xdr:row>572</xdr:row>
          <xdr:rowOff>57150</xdr:rowOff>
        </xdr:to>
        <xdr:sp macro="" textlink="">
          <xdr:nvSpPr>
            <xdr:cNvPr id="19504" name="Object 48" hidden="1">
              <a:extLst>
                <a:ext uri="{63B3BB69-23CF-44E3-9099-C40C66FF867C}">
                  <a14:compatExt spid="_x0000_s19504"/>
                </a:ext>
                <a:ext uri="{FF2B5EF4-FFF2-40B4-BE49-F238E27FC236}">
                  <a16:creationId xmlns:a16="http://schemas.microsoft.com/office/drawing/2014/main" id="{00000000-0008-0000-0600-000030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1000125</xdr:colOff>
          <xdr:row>566</xdr:row>
          <xdr:rowOff>123825</xdr:rowOff>
        </xdr:from>
        <xdr:to>
          <xdr:col>5</xdr:col>
          <xdr:colOff>19050</xdr:colOff>
          <xdr:row>569</xdr:row>
          <xdr:rowOff>47625</xdr:rowOff>
        </xdr:to>
        <xdr:sp macro="" textlink="">
          <xdr:nvSpPr>
            <xdr:cNvPr id="19505" name="Object 49" hidden="1">
              <a:extLst>
                <a:ext uri="{63B3BB69-23CF-44E3-9099-C40C66FF867C}">
                  <a14:compatExt spid="_x0000_s19505"/>
                </a:ext>
                <a:ext uri="{FF2B5EF4-FFF2-40B4-BE49-F238E27FC236}">
                  <a16:creationId xmlns:a16="http://schemas.microsoft.com/office/drawing/2014/main" id="{00000000-0008-0000-0600-000031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962025</xdr:colOff>
          <xdr:row>639</xdr:row>
          <xdr:rowOff>28575</xdr:rowOff>
        </xdr:from>
        <xdr:to>
          <xdr:col>5</xdr:col>
          <xdr:colOff>266700</xdr:colOff>
          <xdr:row>642</xdr:row>
          <xdr:rowOff>66675</xdr:rowOff>
        </xdr:to>
        <xdr:sp macro="" textlink="">
          <xdr:nvSpPr>
            <xdr:cNvPr id="19506" name="Object 50" hidden="1">
              <a:extLst>
                <a:ext uri="{63B3BB69-23CF-44E3-9099-C40C66FF867C}">
                  <a14:compatExt spid="_x0000_s19506"/>
                </a:ext>
                <a:ext uri="{FF2B5EF4-FFF2-40B4-BE49-F238E27FC236}">
                  <a16:creationId xmlns:a16="http://schemas.microsoft.com/office/drawing/2014/main" id="{00000000-0008-0000-0600-000032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636</xdr:row>
          <xdr:rowOff>123825</xdr:rowOff>
        </xdr:from>
        <xdr:to>
          <xdr:col>5</xdr:col>
          <xdr:colOff>0</xdr:colOff>
          <xdr:row>639</xdr:row>
          <xdr:rowOff>47625</xdr:rowOff>
        </xdr:to>
        <xdr:sp macro="" textlink="">
          <xdr:nvSpPr>
            <xdr:cNvPr id="19507" name="Object 51" hidden="1">
              <a:extLst>
                <a:ext uri="{63B3BB69-23CF-44E3-9099-C40C66FF867C}">
                  <a14:compatExt spid="_x0000_s19507"/>
                </a:ext>
                <a:ext uri="{FF2B5EF4-FFF2-40B4-BE49-F238E27FC236}">
                  <a16:creationId xmlns:a16="http://schemas.microsoft.com/office/drawing/2014/main" id="{00000000-0008-0000-0600-000033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200025</xdr:colOff>
          <xdr:row>609</xdr:row>
          <xdr:rowOff>152400</xdr:rowOff>
        </xdr:from>
        <xdr:to>
          <xdr:col>5</xdr:col>
          <xdr:colOff>19050</xdr:colOff>
          <xdr:row>613</xdr:row>
          <xdr:rowOff>9525</xdr:rowOff>
        </xdr:to>
        <xdr:sp macro="" textlink="">
          <xdr:nvSpPr>
            <xdr:cNvPr id="19508" name="Object 52" hidden="1">
              <a:extLst>
                <a:ext uri="{63B3BB69-23CF-44E3-9099-C40C66FF867C}">
                  <a14:compatExt spid="_x0000_s19508"/>
                </a:ext>
                <a:ext uri="{FF2B5EF4-FFF2-40B4-BE49-F238E27FC236}">
                  <a16:creationId xmlns:a16="http://schemas.microsoft.com/office/drawing/2014/main" id="{00000000-0008-0000-0600-000034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295275</xdr:colOff>
          <xdr:row>616</xdr:row>
          <xdr:rowOff>28575</xdr:rowOff>
        </xdr:from>
        <xdr:to>
          <xdr:col>5</xdr:col>
          <xdr:colOff>9525</xdr:colOff>
          <xdr:row>619</xdr:row>
          <xdr:rowOff>85725</xdr:rowOff>
        </xdr:to>
        <xdr:sp macro="" textlink="">
          <xdr:nvSpPr>
            <xdr:cNvPr id="19509" name="Object 53" hidden="1">
              <a:extLst>
                <a:ext uri="{63B3BB69-23CF-44E3-9099-C40C66FF867C}">
                  <a14:compatExt spid="_x0000_s19509"/>
                </a:ext>
                <a:ext uri="{FF2B5EF4-FFF2-40B4-BE49-F238E27FC236}">
                  <a16:creationId xmlns:a16="http://schemas.microsoft.com/office/drawing/2014/main" id="{00000000-0008-0000-0600-000035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621</xdr:row>
          <xdr:rowOff>0</xdr:rowOff>
        </xdr:from>
        <xdr:to>
          <xdr:col>5</xdr:col>
          <xdr:colOff>28575</xdr:colOff>
          <xdr:row>624</xdr:row>
          <xdr:rowOff>19050</xdr:rowOff>
        </xdr:to>
        <xdr:sp macro="" textlink="">
          <xdr:nvSpPr>
            <xdr:cNvPr id="19510" name="Object 54" hidden="1">
              <a:extLst>
                <a:ext uri="{63B3BB69-23CF-44E3-9099-C40C66FF867C}">
                  <a14:compatExt spid="_x0000_s19510"/>
                </a:ext>
                <a:ext uri="{FF2B5EF4-FFF2-40B4-BE49-F238E27FC236}">
                  <a16:creationId xmlns:a16="http://schemas.microsoft.com/office/drawing/2014/main" id="{00000000-0008-0000-0600-000036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624</xdr:row>
          <xdr:rowOff>38100</xdr:rowOff>
        </xdr:from>
        <xdr:to>
          <xdr:col>5</xdr:col>
          <xdr:colOff>66675</xdr:colOff>
          <xdr:row>627</xdr:row>
          <xdr:rowOff>0</xdr:rowOff>
        </xdr:to>
        <xdr:sp macro="" textlink="">
          <xdr:nvSpPr>
            <xdr:cNvPr id="19511" name="Object 55" hidden="1">
              <a:extLst>
                <a:ext uri="{63B3BB69-23CF-44E3-9099-C40C66FF867C}">
                  <a14:compatExt spid="_x0000_s19511"/>
                </a:ext>
                <a:ext uri="{FF2B5EF4-FFF2-40B4-BE49-F238E27FC236}">
                  <a16:creationId xmlns:a16="http://schemas.microsoft.com/office/drawing/2014/main" id="{00000000-0008-0000-0600-000037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781050</xdr:colOff>
          <xdr:row>673</xdr:row>
          <xdr:rowOff>57150</xdr:rowOff>
        </xdr:from>
        <xdr:to>
          <xdr:col>3</xdr:col>
          <xdr:colOff>333375</xdr:colOff>
          <xdr:row>676</xdr:row>
          <xdr:rowOff>76200</xdr:rowOff>
        </xdr:to>
        <xdr:sp macro="" textlink="">
          <xdr:nvSpPr>
            <xdr:cNvPr id="19512" name="Object 56" hidden="1">
              <a:extLst>
                <a:ext uri="{63B3BB69-23CF-44E3-9099-C40C66FF867C}">
                  <a14:compatExt spid="_x0000_s19512"/>
                </a:ext>
                <a:ext uri="{FF2B5EF4-FFF2-40B4-BE49-F238E27FC236}">
                  <a16:creationId xmlns:a16="http://schemas.microsoft.com/office/drawing/2014/main" id="{00000000-0008-0000-0600-000038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800100</xdr:colOff>
          <xdr:row>678</xdr:row>
          <xdr:rowOff>104775</xdr:rowOff>
        </xdr:from>
        <xdr:to>
          <xdr:col>3</xdr:col>
          <xdr:colOff>247650</xdr:colOff>
          <xdr:row>682</xdr:row>
          <xdr:rowOff>0</xdr:rowOff>
        </xdr:to>
        <xdr:sp macro="" textlink="">
          <xdr:nvSpPr>
            <xdr:cNvPr id="19513" name="Object 57" hidden="1">
              <a:extLst>
                <a:ext uri="{63B3BB69-23CF-44E3-9099-C40C66FF867C}">
                  <a14:compatExt spid="_x0000_s19513"/>
                </a:ext>
                <a:ext uri="{FF2B5EF4-FFF2-40B4-BE49-F238E27FC236}">
                  <a16:creationId xmlns:a16="http://schemas.microsoft.com/office/drawing/2014/main" id="{00000000-0008-0000-0600-000039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684</xdr:row>
          <xdr:rowOff>57150</xdr:rowOff>
        </xdr:from>
        <xdr:to>
          <xdr:col>3</xdr:col>
          <xdr:colOff>438150</xdr:colOff>
          <xdr:row>687</xdr:row>
          <xdr:rowOff>95250</xdr:rowOff>
        </xdr:to>
        <xdr:sp macro="" textlink="">
          <xdr:nvSpPr>
            <xdr:cNvPr id="19514" name="Object 58" hidden="1">
              <a:extLst>
                <a:ext uri="{63B3BB69-23CF-44E3-9099-C40C66FF867C}">
                  <a14:compatExt spid="_x0000_s19514"/>
                </a:ext>
                <a:ext uri="{FF2B5EF4-FFF2-40B4-BE49-F238E27FC236}">
                  <a16:creationId xmlns:a16="http://schemas.microsoft.com/office/drawing/2014/main" id="{00000000-0008-0000-0600-00003A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688</xdr:row>
          <xdr:rowOff>9525</xdr:rowOff>
        </xdr:from>
        <xdr:to>
          <xdr:col>4</xdr:col>
          <xdr:colOff>171450</xdr:colOff>
          <xdr:row>691</xdr:row>
          <xdr:rowOff>85725</xdr:rowOff>
        </xdr:to>
        <xdr:sp macro="" textlink="">
          <xdr:nvSpPr>
            <xdr:cNvPr id="19515" name="Object 59" hidden="1">
              <a:extLst>
                <a:ext uri="{63B3BB69-23CF-44E3-9099-C40C66FF867C}">
                  <a14:compatExt spid="_x0000_s19515"/>
                </a:ext>
                <a:ext uri="{FF2B5EF4-FFF2-40B4-BE49-F238E27FC236}">
                  <a16:creationId xmlns:a16="http://schemas.microsoft.com/office/drawing/2014/main" id="{00000000-0008-0000-0600-00003B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895350</xdr:colOff>
          <xdr:row>695</xdr:row>
          <xdr:rowOff>28575</xdr:rowOff>
        </xdr:from>
        <xdr:to>
          <xdr:col>3</xdr:col>
          <xdr:colOff>238125</xdr:colOff>
          <xdr:row>698</xdr:row>
          <xdr:rowOff>133350</xdr:rowOff>
        </xdr:to>
        <xdr:sp macro="" textlink="">
          <xdr:nvSpPr>
            <xdr:cNvPr id="19516" name="Object 60" hidden="1">
              <a:extLst>
                <a:ext uri="{63B3BB69-23CF-44E3-9099-C40C66FF867C}">
                  <a14:compatExt spid="_x0000_s19516"/>
                </a:ext>
                <a:ext uri="{FF2B5EF4-FFF2-40B4-BE49-F238E27FC236}">
                  <a16:creationId xmlns:a16="http://schemas.microsoft.com/office/drawing/2014/main" id="{00000000-0008-0000-0600-00003C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717</xdr:row>
          <xdr:rowOff>123825</xdr:rowOff>
        </xdr:from>
        <xdr:to>
          <xdr:col>4</xdr:col>
          <xdr:colOff>438150</xdr:colOff>
          <xdr:row>721</xdr:row>
          <xdr:rowOff>66675</xdr:rowOff>
        </xdr:to>
        <xdr:sp macro="" textlink="">
          <xdr:nvSpPr>
            <xdr:cNvPr id="19517" name="Object 61" hidden="1">
              <a:extLst>
                <a:ext uri="{63B3BB69-23CF-44E3-9099-C40C66FF867C}">
                  <a14:compatExt spid="_x0000_s19517"/>
                </a:ext>
                <a:ext uri="{FF2B5EF4-FFF2-40B4-BE49-F238E27FC236}">
                  <a16:creationId xmlns:a16="http://schemas.microsoft.com/office/drawing/2014/main" id="{00000000-0008-0000-0600-00003D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387</xdr:row>
          <xdr:rowOff>28575</xdr:rowOff>
        </xdr:from>
        <xdr:to>
          <xdr:col>5</xdr:col>
          <xdr:colOff>47625</xdr:colOff>
          <xdr:row>390</xdr:row>
          <xdr:rowOff>0</xdr:rowOff>
        </xdr:to>
        <xdr:sp macro="" textlink="">
          <xdr:nvSpPr>
            <xdr:cNvPr id="19518" name="Object 62" hidden="1">
              <a:extLst>
                <a:ext uri="{63B3BB69-23CF-44E3-9099-C40C66FF867C}">
                  <a14:compatExt spid="_x0000_s19518"/>
                </a:ext>
                <a:ext uri="{FF2B5EF4-FFF2-40B4-BE49-F238E27FC236}">
                  <a16:creationId xmlns:a16="http://schemas.microsoft.com/office/drawing/2014/main" id="{00000000-0008-0000-0600-00003E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523875</xdr:colOff>
          <xdr:row>913</xdr:row>
          <xdr:rowOff>28575</xdr:rowOff>
        </xdr:from>
        <xdr:to>
          <xdr:col>4</xdr:col>
          <xdr:colOff>457200</xdr:colOff>
          <xdr:row>916</xdr:row>
          <xdr:rowOff>19050</xdr:rowOff>
        </xdr:to>
        <xdr:sp macro="" textlink="">
          <xdr:nvSpPr>
            <xdr:cNvPr id="19519" name="Object 63" hidden="1">
              <a:extLst>
                <a:ext uri="{63B3BB69-23CF-44E3-9099-C40C66FF867C}">
                  <a14:compatExt spid="_x0000_s19519"/>
                </a:ext>
                <a:ext uri="{FF2B5EF4-FFF2-40B4-BE49-F238E27FC236}">
                  <a16:creationId xmlns:a16="http://schemas.microsoft.com/office/drawing/2014/main" id="{00000000-0008-0000-0600-00003F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600075</xdr:colOff>
          <xdr:row>989</xdr:row>
          <xdr:rowOff>19050</xdr:rowOff>
        </xdr:from>
        <xdr:to>
          <xdr:col>5</xdr:col>
          <xdr:colOff>19050</xdr:colOff>
          <xdr:row>992</xdr:row>
          <xdr:rowOff>47625</xdr:rowOff>
        </xdr:to>
        <xdr:sp macro="" textlink="">
          <xdr:nvSpPr>
            <xdr:cNvPr id="19520" name="Object 64" hidden="1">
              <a:extLst>
                <a:ext uri="{63B3BB69-23CF-44E3-9099-C40C66FF867C}">
                  <a14:compatExt spid="_x0000_s19520"/>
                </a:ext>
                <a:ext uri="{FF2B5EF4-FFF2-40B4-BE49-F238E27FC236}">
                  <a16:creationId xmlns:a16="http://schemas.microsoft.com/office/drawing/2014/main" id="{00000000-0008-0000-0600-000040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242</xdr:row>
          <xdr:rowOff>28575</xdr:rowOff>
        </xdr:from>
        <xdr:to>
          <xdr:col>4</xdr:col>
          <xdr:colOff>219075</xdr:colOff>
          <xdr:row>243</xdr:row>
          <xdr:rowOff>333375</xdr:rowOff>
        </xdr:to>
        <xdr:sp macro="" textlink="">
          <xdr:nvSpPr>
            <xdr:cNvPr id="19521" name="Object 65" hidden="1">
              <a:extLst>
                <a:ext uri="{63B3BB69-23CF-44E3-9099-C40C66FF867C}">
                  <a14:compatExt spid="_x0000_s19521"/>
                </a:ext>
                <a:ext uri="{FF2B5EF4-FFF2-40B4-BE49-F238E27FC236}">
                  <a16:creationId xmlns:a16="http://schemas.microsoft.com/office/drawing/2014/main" id="{00000000-0008-0000-0600-000041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243</xdr:row>
          <xdr:rowOff>38100</xdr:rowOff>
        </xdr:from>
        <xdr:to>
          <xdr:col>3</xdr:col>
          <xdr:colOff>447675</xdr:colOff>
          <xdr:row>243</xdr:row>
          <xdr:rowOff>438150</xdr:rowOff>
        </xdr:to>
        <xdr:sp macro="" textlink="">
          <xdr:nvSpPr>
            <xdr:cNvPr id="19522" name="Object 66" hidden="1">
              <a:extLst>
                <a:ext uri="{63B3BB69-23CF-44E3-9099-C40C66FF867C}">
                  <a14:compatExt spid="_x0000_s19522"/>
                </a:ext>
                <a:ext uri="{FF2B5EF4-FFF2-40B4-BE49-F238E27FC236}">
                  <a16:creationId xmlns:a16="http://schemas.microsoft.com/office/drawing/2014/main" id="{00000000-0008-0000-0600-000042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1019175</xdr:colOff>
          <xdr:row>445</xdr:row>
          <xdr:rowOff>95250</xdr:rowOff>
        </xdr:from>
        <xdr:to>
          <xdr:col>5</xdr:col>
          <xdr:colOff>314325</xdr:colOff>
          <xdr:row>447</xdr:row>
          <xdr:rowOff>38100</xdr:rowOff>
        </xdr:to>
        <xdr:sp macro="" textlink="">
          <xdr:nvSpPr>
            <xdr:cNvPr id="19523" name="Object 67" hidden="1">
              <a:extLst>
                <a:ext uri="{63B3BB69-23CF-44E3-9099-C40C66FF867C}">
                  <a14:compatExt spid="_x0000_s19523"/>
                </a:ext>
                <a:ext uri="{FF2B5EF4-FFF2-40B4-BE49-F238E27FC236}">
                  <a16:creationId xmlns:a16="http://schemas.microsoft.com/office/drawing/2014/main" id="{00000000-0008-0000-0600-000043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457</xdr:row>
          <xdr:rowOff>104775</xdr:rowOff>
        </xdr:from>
        <xdr:to>
          <xdr:col>4</xdr:col>
          <xdr:colOff>485775</xdr:colOff>
          <xdr:row>459</xdr:row>
          <xdr:rowOff>38100</xdr:rowOff>
        </xdr:to>
        <xdr:sp macro="" textlink="">
          <xdr:nvSpPr>
            <xdr:cNvPr id="19524" name="Object 68" hidden="1">
              <a:extLst>
                <a:ext uri="{63B3BB69-23CF-44E3-9099-C40C66FF867C}">
                  <a14:compatExt spid="_x0000_s19524"/>
                </a:ext>
                <a:ext uri="{FF2B5EF4-FFF2-40B4-BE49-F238E27FC236}">
                  <a16:creationId xmlns:a16="http://schemas.microsoft.com/office/drawing/2014/main" id="{00000000-0008-0000-0600-000044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404</xdr:row>
          <xdr:rowOff>9525</xdr:rowOff>
        </xdr:from>
        <xdr:to>
          <xdr:col>5</xdr:col>
          <xdr:colOff>123825</xdr:colOff>
          <xdr:row>407</xdr:row>
          <xdr:rowOff>38100</xdr:rowOff>
        </xdr:to>
        <xdr:sp macro="" textlink="">
          <xdr:nvSpPr>
            <xdr:cNvPr id="19525" name="Object 69" hidden="1">
              <a:extLst>
                <a:ext uri="{63B3BB69-23CF-44E3-9099-C40C66FF867C}">
                  <a14:compatExt spid="_x0000_s19525"/>
                </a:ext>
                <a:ext uri="{FF2B5EF4-FFF2-40B4-BE49-F238E27FC236}">
                  <a16:creationId xmlns:a16="http://schemas.microsoft.com/office/drawing/2014/main" id="{00000000-0008-0000-0600-000045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412</xdr:row>
          <xdr:rowOff>19050</xdr:rowOff>
        </xdr:from>
        <xdr:to>
          <xdr:col>5</xdr:col>
          <xdr:colOff>142875</xdr:colOff>
          <xdr:row>415</xdr:row>
          <xdr:rowOff>57150</xdr:rowOff>
        </xdr:to>
        <xdr:sp macro="" textlink="">
          <xdr:nvSpPr>
            <xdr:cNvPr id="19526" name="Object 70" hidden="1">
              <a:extLst>
                <a:ext uri="{63B3BB69-23CF-44E3-9099-C40C66FF867C}">
                  <a14:compatExt spid="_x0000_s19526"/>
                </a:ext>
                <a:ext uri="{FF2B5EF4-FFF2-40B4-BE49-F238E27FC236}">
                  <a16:creationId xmlns:a16="http://schemas.microsoft.com/office/drawing/2014/main" id="{00000000-0008-0000-0600-000046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395</xdr:row>
          <xdr:rowOff>9525</xdr:rowOff>
        </xdr:from>
        <xdr:to>
          <xdr:col>5</xdr:col>
          <xdr:colOff>104775</xdr:colOff>
          <xdr:row>398</xdr:row>
          <xdr:rowOff>38100</xdr:rowOff>
        </xdr:to>
        <xdr:sp macro="" textlink="">
          <xdr:nvSpPr>
            <xdr:cNvPr id="19527" name="Object 71" hidden="1">
              <a:extLst>
                <a:ext uri="{63B3BB69-23CF-44E3-9099-C40C66FF867C}">
                  <a14:compatExt spid="_x0000_s19527"/>
                </a:ext>
                <a:ext uri="{FF2B5EF4-FFF2-40B4-BE49-F238E27FC236}">
                  <a16:creationId xmlns:a16="http://schemas.microsoft.com/office/drawing/2014/main" id="{00000000-0008-0000-0600-000047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453</xdr:row>
          <xdr:rowOff>142875</xdr:rowOff>
        </xdr:from>
        <xdr:to>
          <xdr:col>4</xdr:col>
          <xdr:colOff>438150</xdr:colOff>
          <xdr:row>457</xdr:row>
          <xdr:rowOff>38100</xdr:rowOff>
        </xdr:to>
        <xdr:sp macro="" textlink="">
          <xdr:nvSpPr>
            <xdr:cNvPr id="19528" name="Object 72" hidden="1">
              <a:extLst>
                <a:ext uri="{63B3BB69-23CF-44E3-9099-C40C66FF867C}">
                  <a14:compatExt spid="_x0000_s19528"/>
                </a:ext>
                <a:ext uri="{FF2B5EF4-FFF2-40B4-BE49-F238E27FC236}">
                  <a16:creationId xmlns:a16="http://schemas.microsoft.com/office/drawing/2014/main" id="{00000000-0008-0000-0600-000048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465</xdr:row>
          <xdr:rowOff>28575</xdr:rowOff>
        </xdr:from>
        <xdr:to>
          <xdr:col>5</xdr:col>
          <xdr:colOff>47625</xdr:colOff>
          <xdr:row>468</xdr:row>
          <xdr:rowOff>0</xdr:rowOff>
        </xdr:to>
        <xdr:sp macro="" textlink="">
          <xdr:nvSpPr>
            <xdr:cNvPr id="19529" name="Object 73" hidden="1">
              <a:extLst>
                <a:ext uri="{63B3BB69-23CF-44E3-9099-C40C66FF867C}">
                  <a14:compatExt spid="_x0000_s19529"/>
                </a:ext>
                <a:ext uri="{FF2B5EF4-FFF2-40B4-BE49-F238E27FC236}">
                  <a16:creationId xmlns:a16="http://schemas.microsoft.com/office/drawing/2014/main" id="{00000000-0008-0000-0600-000049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666750</xdr:colOff>
          <xdr:row>705</xdr:row>
          <xdr:rowOff>57150</xdr:rowOff>
        </xdr:from>
        <xdr:to>
          <xdr:col>4</xdr:col>
          <xdr:colOff>533400</xdr:colOff>
          <xdr:row>708</xdr:row>
          <xdr:rowOff>95250</xdr:rowOff>
        </xdr:to>
        <xdr:sp macro="" textlink="">
          <xdr:nvSpPr>
            <xdr:cNvPr id="19530" name="Object 74" hidden="1">
              <a:extLst>
                <a:ext uri="{63B3BB69-23CF-44E3-9099-C40C66FF867C}">
                  <a14:compatExt spid="_x0000_s19530"/>
                </a:ext>
                <a:ext uri="{FF2B5EF4-FFF2-40B4-BE49-F238E27FC236}">
                  <a16:creationId xmlns:a16="http://schemas.microsoft.com/office/drawing/2014/main" id="{00000000-0008-0000-0600-00004A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1009650</xdr:colOff>
          <xdr:row>702</xdr:row>
          <xdr:rowOff>142875</xdr:rowOff>
        </xdr:from>
        <xdr:to>
          <xdr:col>5</xdr:col>
          <xdr:colOff>38100</xdr:colOff>
          <xdr:row>705</xdr:row>
          <xdr:rowOff>66675</xdr:rowOff>
        </xdr:to>
        <xdr:sp macro="" textlink="">
          <xdr:nvSpPr>
            <xdr:cNvPr id="19531" name="Object 75" hidden="1">
              <a:extLst>
                <a:ext uri="{63B3BB69-23CF-44E3-9099-C40C66FF867C}">
                  <a14:compatExt spid="_x0000_s19531"/>
                </a:ext>
                <a:ext uri="{FF2B5EF4-FFF2-40B4-BE49-F238E27FC236}">
                  <a16:creationId xmlns:a16="http://schemas.microsoft.com/office/drawing/2014/main" id="{00000000-0008-0000-0600-00004B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836</xdr:row>
          <xdr:rowOff>123825</xdr:rowOff>
        </xdr:from>
        <xdr:to>
          <xdr:col>4</xdr:col>
          <xdr:colOff>257175</xdr:colOff>
          <xdr:row>839</xdr:row>
          <xdr:rowOff>9525</xdr:rowOff>
        </xdr:to>
        <xdr:sp macro="" textlink="">
          <xdr:nvSpPr>
            <xdr:cNvPr id="19532" name="Object 76" hidden="1">
              <a:extLst>
                <a:ext uri="{63B3BB69-23CF-44E3-9099-C40C66FF867C}">
                  <a14:compatExt spid="_x0000_s19532"/>
                </a:ext>
                <a:ext uri="{FF2B5EF4-FFF2-40B4-BE49-F238E27FC236}">
                  <a16:creationId xmlns:a16="http://schemas.microsoft.com/office/drawing/2014/main" id="{00000000-0008-0000-0600-00004C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851</xdr:row>
          <xdr:rowOff>38100</xdr:rowOff>
        </xdr:from>
        <xdr:to>
          <xdr:col>5</xdr:col>
          <xdr:colOff>38100</xdr:colOff>
          <xdr:row>854</xdr:row>
          <xdr:rowOff>0</xdr:rowOff>
        </xdr:to>
        <xdr:sp macro="" textlink="">
          <xdr:nvSpPr>
            <xdr:cNvPr id="19533" name="Object 77" hidden="1">
              <a:extLst>
                <a:ext uri="{63B3BB69-23CF-44E3-9099-C40C66FF867C}">
                  <a14:compatExt spid="_x0000_s19533"/>
                </a:ext>
                <a:ext uri="{FF2B5EF4-FFF2-40B4-BE49-F238E27FC236}">
                  <a16:creationId xmlns:a16="http://schemas.microsoft.com/office/drawing/2014/main" id="{00000000-0008-0000-0600-00004D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1228725</xdr:colOff>
          <xdr:row>856</xdr:row>
          <xdr:rowOff>85725</xdr:rowOff>
        </xdr:from>
        <xdr:to>
          <xdr:col>3</xdr:col>
          <xdr:colOff>228600</xdr:colOff>
          <xdr:row>858</xdr:row>
          <xdr:rowOff>123825</xdr:rowOff>
        </xdr:to>
        <xdr:sp macro="" textlink="">
          <xdr:nvSpPr>
            <xdr:cNvPr id="19534" name="Object 78" hidden="1">
              <a:extLst>
                <a:ext uri="{63B3BB69-23CF-44E3-9099-C40C66FF867C}">
                  <a14:compatExt spid="_x0000_s19534"/>
                </a:ext>
                <a:ext uri="{FF2B5EF4-FFF2-40B4-BE49-F238E27FC236}">
                  <a16:creationId xmlns:a16="http://schemas.microsoft.com/office/drawing/2014/main" id="{00000000-0008-0000-0600-00004E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657225</xdr:colOff>
          <xdr:row>769</xdr:row>
          <xdr:rowOff>47625</xdr:rowOff>
        </xdr:from>
        <xdr:to>
          <xdr:col>3</xdr:col>
          <xdr:colOff>257175</xdr:colOff>
          <xdr:row>773</xdr:row>
          <xdr:rowOff>0</xdr:rowOff>
        </xdr:to>
        <xdr:sp macro="" textlink="">
          <xdr:nvSpPr>
            <xdr:cNvPr id="19535" name="Object 79" hidden="1">
              <a:extLst>
                <a:ext uri="{63B3BB69-23CF-44E3-9099-C40C66FF867C}">
                  <a14:compatExt spid="_x0000_s19535"/>
                </a:ext>
                <a:ext uri="{FF2B5EF4-FFF2-40B4-BE49-F238E27FC236}">
                  <a16:creationId xmlns:a16="http://schemas.microsoft.com/office/drawing/2014/main" id="{00000000-0008-0000-0600-00004F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782</xdr:row>
          <xdr:rowOff>123825</xdr:rowOff>
        </xdr:from>
        <xdr:to>
          <xdr:col>4</xdr:col>
          <xdr:colOff>257175</xdr:colOff>
          <xdr:row>785</xdr:row>
          <xdr:rowOff>9525</xdr:rowOff>
        </xdr:to>
        <xdr:sp macro="" textlink="">
          <xdr:nvSpPr>
            <xdr:cNvPr id="19536" name="Object 80" hidden="1">
              <a:extLst>
                <a:ext uri="{63B3BB69-23CF-44E3-9099-C40C66FF867C}">
                  <a14:compatExt spid="_x0000_s19536"/>
                </a:ext>
                <a:ext uri="{FF2B5EF4-FFF2-40B4-BE49-F238E27FC236}">
                  <a16:creationId xmlns:a16="http://schemas.microsoft.com/office/drawing/2014/main" id="{00000000-0008-0000-0600-000050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962025</xdr:colOff>
          <xdr:row>778</xdr:row>
          <xdr:rowOff>28575</xdr:rowOff>
        </xdr:from>
        <xdr:to>
          <xdr:col>5</xdr:col>
          <xdr:colOff>266700</xdr:colOff>
          <xdr:row>781</xdr:row>
          <xdr:rowOff>66675</xdr:rowOff>
        </xdr:to>
        <xdr:sp macro="" textlink="">
          <xdr:nvSpPr>
            <xdr:cNvPr id="19537" name="Object 81" hidden="1">
              <a:extLst>
                <a:ext uri="{63B3BB69-23CF-44E3-9099-C40C66FF867C}">
                  <a14:compatExt spid="_x0000_s19537"/>
                </a:ext>
                <a:ext uri="{FF2B5EF4-FFF2-40B4-BE49-F238E27FC236}">
                  <a16:creationId xmlns:a16="http://schemas.microsoft.com/office/drawing/2014/main" id="{00000000-0008-0000-0600-000051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981075</xdr:colOff>
          <xdr:row>775</xdr:row>
          <xdr:rowOff>123825</xdr:rowOff>
        </xdr:from>
        <xdr:to>
          <xdr:col>5</xdr:col>
          <xdr:colOff>0</xdr:colOff>
          <xdr:row>778</xdr:row>
          <xdr:rowOff>47625</xdr:rowOff>
        </xdr:to>
        <xdr:sp macro="" textlink="">
          <xdr:nvSpPr>
            <xdr:cNvPr id="19538" name="Object 82" hidden="1">
              <a:extLst>
                <a:ext uri="{63B3BB69-23CF-44E3-9099-C40C66FF867C}">
                  <a14:compatExt spid="_x0000_s19538"/>
                </a:ext>
                <a:ext uri="{FF2B5EF4-FFF2-40B4-BE49-F238E27FC236}">
                  <a16:creationId xmlns:a16="http://schemas.microsoft.com/office/drawing/2014/main" id="{00000000-0008-0000-0600-000052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200025</xdr:colOff>
          <xdr:row>745</xdr:row>
          <xdr:rowOff>152400</xdr:rowOff>
        </xdr:from>
        <xdr:to>
          <xdr:col>5</xdr:col>
          <xdr:colOff>19050</xdr:colOff>
          <xdr:row>749</xdr:row>
          <xdr:rowOff>9525</xdr:rowOff>
        </xdr:to>
        <xdr:sp macro="" textlink="">
          <xdr:nvSpPr>
            <xdr:cNvPr id="19539" name="Object 83" hidden="1">
              <a:extLst>
                <a:ext uri="{63B3BB69-23CF-44E3-9099-C40C66FF867C}">
                  <a14:compatExt spid="_x0000_s19539"/>
                </a:ext>
                <a:ext uri="{FF2B5EF4-FFF2-40B4-BE49-F238E27FC236}">
                  <a16:creationId xmlns:a16="http://schemas.microsoft.com/office/drawing/2014/main" id="{00000000-0008-0000-0600-000053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295275</xdr:colOff>
          <xdr:row>752</xdr:row>
          <xdr:rowOff>28575</xdr:rowOff>
        </xdr:from>
        <xdr:to>
          <xdr:col>5</xdr:col>
          <xdr:colOff>9525</xdr:colOff>
          <xdr:row>755</xdr:row>
          <xdr:rowOff>85725</xdr:rowOff>
        </xdr:to>
        <xdr:sp macro="" textlink="">
          <xdr:nvSpPr>
            <xdr:cNvPr id="19540" name="Object 84" hidden="1">
              <a:extLst>
                <a:ext uri="{63B3BB69-23CF-44E3-9099-C40C66FF867C}">
                  <a14:compatExt spid="_x0000_s19540"/>
                </a:ext>
                <a:ext uri="{FF2B5EF4-FFF2-40B4-BE49-F238E27FC236}">
                  <a16:creationId xmlns:a16="http://schemas.microsoft.com/office/drawing/2014/main" id="{00000000-0008-0000-0600-000054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457200</xdr:colOff>
          <xdr:row>757</xdr:row>
          <xdr:rowOff>142875</xdr:rowOff>
        </xdr:from>
        <xdr:to>
          <xdr:col>5</xdr:col>
          <xdr:colOff>28575</xdr:colOff>
          <xdr:row>761</xdr:row>
          <xdr:rowOff>19050</xdr:rowOff>
        </xdr:to>
        <xdr:sp macro="" textlink="">
          <xdr:nvSpPr>
            <xdr:cNvPr id="19541" name="Object 85" hidden="1">
              <a:extLst>
                <a:ext uri="{63B3BB69-23CF-44E3-9099-C40C66FF867C}">
                  <a14:compatExt spid="_x0000_s19541"/>
                </a:ext>
                <a:ext uri="{FF2B5EF4-FFF2-40B4-BE49-F238E27FC236}">
                  <a16:creationId xmlns:a16="http://schemas.microsoft.com/office/drawing/2014/main" id="{00000000-0008-0000-0600-000055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761</xdr:row>
          <xdr:rowOff>38100</xdr:rowOff>
        </xdr:from>
        <xdr:to>
          <xdr:col>5</xdr:col>
          <xdr:colOff>66675</xdr:colOff>
          <xdr:row>764</xdr:row>
          <xdr:rowOff>57150</xdr:rowOff>
        </xdr:to>
        <xdr:sp macro="" textlink="">
          <xdr:nvSpPr>
            <xdr:cNvPr id="19542" name="Object 86" hidden="1">
              <a:extLst>
                <a:ext uri="{63B3BB69-23CF-44E3-9099-C40C66FF867C}">
                  <a14:compatExt spid="_x0000_s19542"/>
                </a:ext>
                <a:ext uri="{FF2B5EF4-FFF2-40B4-BE49-F238E27FC236}">
                  <a16:creationId xmlns:a16="http://schemas.microsoft.com/office/drawing/2014/main" id="{00000000-0008-0000-0600-000056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781050</xdr:colOff>
          <xdr:row>801</xdr:row>
          <xdr:rowOff>57150</xdr:rowOff>
        </xdr:from>
        <xdr:to>
          <xdr:col>4</xdr:col>
          <xdr:colOff>9525</xdr:colOff>
          <xdr:row>805</xdr:row>
          <xdr:rowOff>76200</xdr:rowOff>
        </xdr:to>
        <xdr:sp macro="" textlink="">
          <xdr:nvSpPr>
            <xdr:cNvPr id="19543" name="Object 87" hidden="1">
              <a:extLst>
                <a:ext uri="{63B3BB69-23CF-44E3-9099-C40C66FF867C}">
                  <a14:compatExt spid="_x0000_s19543"/>
                </a:ext>
                <a:ext uri="{FF2B5EF4-FFF2-40B4-BE49-F238E27FC236}">
                  <a16:creationId xmlns:a16="http://schemas.microsoft.com/office/drawing/2014/main" id="{00000000-0008-0000-0600-000057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800100</xdr:colOff>
          <xdr:row>807</xdr:row>
          <xdr:rowOff>104775</xdr:rowOff>
        </xdr:from>
        <xdr:to>
          <xdr:col>3</xdr:col>
          <xdr:colOff>247650</xdr:colOff>
          <xdr:row>811</xdr:row>
          <xdr:rowOff>0</xdr:rowOff>
        </xdr:to>
        <xdr:sp macro="" textlink="">
          <xdr:nvSpPr>
            <xdr:cNvPr id="19544" name="Object 88" hidden="1">
              <a:extLst>
                <a:ext uri="{63B3BB69-23CF-44E3-9099-C40C66FF867C}">
                  <a14:compatExt spid="_x0000_s19544"/>
                </a:ext>
                <a:ext uri="{FF2B5EF4-FFF2-40B4-BE49-F238E27FC236}">
                  <a16:creationId xmlns:a16="http://schemas.microsoft.com/office/drawing/2014/main" id="{00000000-0008-0000-0600-000058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390525</xdr:colOff>
          <xdr:row>813</xdr:row>
          <xdr:rowOff>57150</xdr:rowOff>
        </xdr:from>
        <xdr:to>
          <xdr:col>3</xdr:col>
          <xdr:colOff>438150</xdr:colOff>
          <xdr:row>816</xdr:row>
          <xdr:rowOff>95250</xdr:rowOff>
        </xdr:to>
        <xdr:sp macro="" textlink="">
          <xdr:nvSpPr>
            <xdr:cNvPr id="19545" name="Object 89" hidden="1">
              <a:extLst>
                <a:ext uri="{63B3BB69-23CF-44E3-9099-C40C66FF867C}">
                  <a14:compatExt spid="_x0000_s19545"/>
                </a:ext>
                <a:ext uri="{FF2B5EF4-FFF2-40B4-BE49-F238E27FC236}">
                  <a16:creationId xmlns:a16="http://schemas.microsoft.com/office/drawing/2014/main" id="{00000000-0008-0000-0600-000059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95250</xdr:colOff>
          <xdr:row>817</xdr:row>
          <xdr:rowOff>9525</xdr:rowOff>
        </xdr:from>
        <xdr:to>
          <xdr:col>4</xdr:col>
          <xdr:colOff>171450</xdr:colOff>
          <xdr:row>820</xdr:row>
          <xdr:rowOff>85725</xdr:rowOff>
        </xdr:to>
        <xdr:sp macro="" textlink="">
          <xdr:nvSpPr>
            <xdr:cNvPr id="19546" name="Object 90" hidden="1">
              <a:extLst>
                <a:ext uri="{63B3BB69-23CF-44E3-9099-C40C66FF867C}">
                  <a14:compatExt spid="_x0000_s19546"/>
                </a:ext>
                <a:ext uri="{FF2B5EF4-FFF2-40B4-BE49-F238E27FC236}">
                  <a16:creationId xmlns:a16="http://schemas.microsoft.com/office/drawing/2014/main" id="{00000000-0008-0000-0600-00005A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895350</xdr:colOff>
          <xdr:row>824</xdr:row>
          <xdr:rowOff>28575</xdr:rowOff>
        </xdr:from>
        <xdr:to>
          <xdr:col>3</xdr:col>
          <xdr:colOff>238125</xdr:colOff>
          <xdr:row>827</xdr:row>
          <xdr:rowOff>133350</xdr:rowOff>
        </xdr:to>
        <xdr:sp macro="" textlink="">
          <xdr:nvSpPr>
            <xdr:cNvPr id="19547" name="Object 91" hidden="1">
              <a:extLst>
                <a:ext uri="{63B3BB69-23CF-44E3-9099-C40C66FF867C}">
                  <a14:compatExt spid="_x0000_s19547"/>
                </a:ext>
                <a:ext uri="{FF2B5EF4-FFF2-40B4-BE49-F238E27FC236}">
                  <a16:creationId xmlns:a16="http://schemas.microsoft.com/office/drawing/2014/main" id="{00000000-0008-0000-0600-00005B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1228725</xdr:colOff>
          <xdr:row>845</xdr:row>
          <xdr:rowOff>114300</xdr:rowOff>
        </xdr:from>
        <xdr:to>
          <xdr:col>4</xdr:col>
          <xdr:colOff>161925</xdr:colOff>
          <xdr:row>849</xdr:row>
          <xdr:rowOff>57150</xdr:rowOff>
        </xdr:to>
        <xdr:sp macro="" textlink="">
          <xdr:nvSpPr>
            <xdr:cNvPr id="19548" name="Object 92" hidden="1">
              <a:extLst>
                <a:ext uri="{63B3BB69-23CF-44E3-9099-C40C66FF867C}">
                  <a14:compatExt spid="_x0000_s19548"/>
                </a:ext>
                <a:ext uri="{FF2B5EF4-FFF2-40B4-BE49-F238E27FC236}">
                  <a16:creationId xmlns:a16="http://schemas.microsoft.com/office/drawing/2014/main" id="{00000000-0008-0000-0600-00005C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833</xdr:row>
          <xdr:rowOff>47625</xdr:rowOff>
        </xdr:from>
        <xdr:to>
          <xdr:col>5</xdr:col>
          <xdr:colOff>295275</xdr:colOff>
          <xdr:row>836</xdr:row>
          <xdr:rowOff>85725</xdr:rowOff>
        </xdr:to>
        <xdr:sp macro="" textlink="">
          <xdr:nvSpPr>
            <xdr:cNvPr id="19549" name="Object 93" hidden="1">
              <a:extLst>
                <a:ext uri="{63B3BB69-23CF-44E3-9099-C40C66FF867C}">
                  <a14:compatExt spid="_x0000_s19549"/>
                </a:ext>
                <a:ext uri="{FF2B5EF4-FFF2-40B4-BE49-F238E27FC236}">
                  <a16:creationId xmlns:a16="http://schemas.microsoft.com/office/drawing/2014/main" id="{00000000-0008-0000-0600-00005D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1009650</xdr:colOff>
          <xdr:row>830</xdr:row>
          <xdr:rowOff>142875</xdr:rowOff>
        </xdr:from>
        <xdr:to>
          <xdr:col>5</xdr:col>
          <xdr:colOff>38100</xdr:colOff>
          <xdr:row>833</xdr:row>
          <xdr:rowOff>66675</xdr:rowOff>
        </xdr:to>
        <xdr:sp macro="" textlink="">
          <xdr:nvSpPr>
            <xdr:cNvPr id="19550" name="Object 94" hidden="1">
              <a:extLst>
                <a:ext uri="{63B3BB69-23CF-44E3-9099-C40C66FF867C}">
                  <a14:compatExt spid="_x0000_s19550"/>
                </a:ext>
                <a:ext uri="{FF2B5EF4-FFF2-40B4-BE49-F238E27FC236}">
                  <a16:creationId xmlns:a16="http://schemas.microsoft.com/office/drawing/2014/main" id="{00000000-0008-0000-0600-00005E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921</xdr:row>
          <xdr:rowOff>19050</xdr:rowOff>
        </xdr:from>
        <xdr:to>
          <xdr:col>5</xdr:col>
          <xdr:colOff>85725</xdr:colOff>
          <xdr:row>924</xdr:row>
          <xdr:rowOff>38100</xdr:rowOff>
        </xdr:to>
        <xdr:sp macro="" textlink="">
          <xdr:nvSpPr>
            <xdr:cNvPr id="19551" name="Object 95" hidden="1">
              <a:extLst>
                <a:ext uri="{63B3BB69-23CF-44E3-9099-C40C66FF867C}">
                  <a14:compatExt spid="_x0000_s19551"/>
                </a:ext>
                <a:ext uri="{FF2B5EF4-FFF2-40B4-BE49-F238E27FC236}">
                  <a16:creationId xmlns:a16="http://schemas.microsoft.com/office/drawing/2014/main" id="{00000000-0008-0000-0600-00005F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1000125</xdr:colOff>
          <xdr:row>967</xdr:row>
          <xdr:rowOff>66675</xdr:rowOff>
        </xdr:from>
        <xdr:to>
          <xdr:col>5</xdr:col>
          <xdr:colOff>276225</xdr:colOff>
          <xdr:row>969</xdr:row>
          <xdr:rowOff>0</xdr:rowOff>
        </xdr:to>
        <xdr:sp macro="" textlink="">
          <xdr:nvSpPr>
            <xdr:cNvPr id="19552" name="Object 96" hidden="1">
              <a:extLst>
                <a:ext uri="{63B3BB69-23CF-44E3-9099-C40C66FF867C}">
                  <a14:compatExt spid="_x0000_s19552"/>
                </a:ext>
                <a:ext uri="{FF2B5EF4-FFF2-40B4-BE49-F238E27FC236}">
                  <a16:creationId xmlns:a16="http://schemas.microsoft.com/office/drawing/2014/main" id="{00000000-0008-0000-0600-000060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977</xdr:row>
          <xdr:rowOff>142875</xdr:rowOff>
        </xdr:from>
        <xdr:to>
          <xdr:col>4</xdr:col>
          <xdr:colOff>428625</xdr:colOff>
          <xdr:row>981</xdr:row>
          <xdr:rowOff>38100</xdr:rowOff>
        </xdr:to>
        <xdr:sp macro="" textlink="">
          <xdr:nvSpPr>
            <xdr:cNvPr id="19553" name="Object 97" hidden="1">
              <a:extLst>
                <a:ext uri="{63B3BB69-23CF-44E3-9099-C40C66FF867C}">
                  <a14:compatExt spid="_x0000_s19553"/>
                </a:ext>
                <a:ext uri="{FF2B5EF4-FFF2-40B4-BE49-F238E27FC236}">
                  <a16:creationId xmlns:a16="http://schemas.microsoft.com/office/drawing/2014/main" id="{00000000-0008-0000-0600-0000614C0000}"/>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twoCellAnchor editAs="oneCell">
    <xdr:from>
      <xdr:col>1</xdr:col>
      <xdr:colOff>381000</xdr:colOff>
      <xdr:row>521</xdr:row>
      <xdr:rowOff>19050</xdr:rowOff>
    </xdr:from>
    <xdr:to>
      <xdr:col>6</xdr:col>
      <xdr:colOff>116003</xdr:colOff>
      <xdr:row>525</xdr:row>
      <xdr:rowOff>115521</xdr:rowOff>
    </xdr:to>
    <xdr:pic>
      <xdr:nvPicPr>
        <xdr:cNvPr id="11" name="Immagin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2"/>
        <a:stretch>
          <a:fillRect/>
        </a:stretch>
      </xdr:blipFill>
      <xdr:spPr>
        <a:xfrm>
          <a:off x="381000" y="95869125"/>
          <a:ext cx="3099233" cy="744171"/>
        </a:xfrm>
        <a:prstGeom prst="rect">
          <a:avLst/>
        </a:prstGeom>
      </xdr:spPr>
    </xdr:pic>
    <xdr:clientData/>
  </xdr:twoCellAnchor>
  <xdr:oneCellAnchor>
    <xdr:from>
      <xdr:col>1</xdr:col>
      <xdr:colOff>381000</xdr:colOff>
      <xdr:row>654</xdr:row>
      <xdr:rowOff>19050</xdr:rowOff>
    </xdr:from>
    <xdr:ext cx="3105583" cy="724001"/>
    <xdr:pic>
      <xdr:nvPicPr>
        <xdr:cNvPr id="12" name="Immagine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2"/>
        <a:stretch>
          <a:fillRect/>
        </a:stretch>
      </xdr:blipFill>
      <xdr:spPr>
        <a:xfrm>
          <a:off x="381000" y="117643275"/>
          <a:ext cx="3105583" cy="724001"/>
        </a:xfrm>
        <a:prstGeom prst="rect">
          <a:avLst/>
        </a:prstGeom>
      </xdr:spPr>
    </xdr:pic>
    <xdr:clientData/>
  </xdr:oneCellAnchor>
  <xdr:oneCellAnchor>
    <xdr:from>
      <xdr:col>1</xdr:col>
      <xdr:colOff>295275</xdr:colOff>
      <xdr:row>790</xdr:row>
      <xdr:rowOff>38100</xdr:rowOff>
    </xdr:from>
    <xdr:ext cx="3105583" cy="724001"/>
    <xdr:pic>
      <xdr:nvPicPr>
        <xdr:cNvPr id="13" name="Immagine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2"/>
        <a:stretch>
          <a:fillRect/>
        </a:stretch>
      </xdr:blipFill>
      <xdr:spPr>
        <a:xfrm>
          <a:off x="295275" y="140036550"/>
          <a:ext cx="3105583" cy="724001"/>
        </a:xfrm>
        <a:prstGeom prst="rect">
          <a:avLst/>
        </a:prstGeom>
      </xdr:spPr>
    </xdr:pic>
    <xdr:clientData/>
  </xdr:oneCellAnchor>
  <xdr:twoCellAnchor editAs="oneCell">
    <xdr:from>
      <xdr:col>1</xdr:col>
      <xdr:colOff>306159</xdr:colOff>
      <xdr:row>510</xdr:row>
      <xdr:rowOff>938</xdr:rowOff>
    </xdr:from>
    <xdr:to>
      <xdr:col>4</xdr:col>
      <xdr:colOff>540136</xdr:colOff>
      <xdr:row>513</xdr:row>
      <xdr:rowOff>106021</xdr:rowOff>
    </xdr:to>
    <xdr:pic>
      <xdr:nvPicPr>
        <xdr:cNvPr id="14" name="Immagine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3"/>
        <a:stretch>
          <a:fillRect/>
        </a:stretch>
      </xdr:blipFill>
      <xdr:spPr>
        <a:xfrm>
          <a:off x="306159" y="94069838"/>
          <a:ext cx="2510452" cy="588953"/>
        </a:xfrm>
        <a:prstGeom prst="rect">
          <a:avLst/>
        </a:prstGeom>
      </xdr:spPr>
    </xdr:pic>
    <xdr:clientData/>
  </xdr:twoCellAnchor>
  <xdr:twoCellAnchor editAs="oneCell">
    <xdr:from>
      <xdr:col>1</xdr:col>
      <xdr:colOff>386798</xdr:colOff>
      <xdr:row>11</xdr:row>
      <xdr:rowOff>35859</xdr:rowOff>
    </xdr:from>
    <xdr:to>
      <xdr:col>7</xdr:col>
      <xdr:colOff>130269</xdr:colOff>
      <xdr:row>31</xdr:row>
      <xdr:rowOff>67795</xdr:rowOff>
    </xdr:to>
    <xdr:pic>
      <xdr:nvPicPr>
        <xdr:cNvPr id="15" name="Immagine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4"/>
        <a:stretch>
          <a:fillRect/>
        </a:stretch>
      </xdr:blipFill>
      <xdr:spPr>
        <a:xfrm>
          <a:off x="386798" y="2017059"/>
          <a:ext cx="4277371" cy="32742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73270</xdr:colOff>
      <xdr:row>22</xdr:row>
      <xdr:rowOff>86713</xdr:rowOff>
    </xdr:from>
    <xdr:to>
      <xdr:col>6</xdr:col>
      <xdr:colOff>258311</xdr:colOff>
      <xdr:row>27</xdr:row>
      <xdr:rowOff>111436</xdr:rowOff>
    </xdr:to>
    <xdr:pic>
      <xdr:nvPicPr>
        <xdr:cNvPr id="2" name="Grafik 1" descr="Bildschirmausschnitt">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70" y="4411063"/>
          <a:ext cx="4379851" cy="963888"/>
        </a:xfrm>
        <a:prstGeom prst="rect">
          <a:avLst/>
        </a:prstGeom>
      </xdr:spPr>
    </xdr:pic>
    <xdr:clientData/>
  </xdr:twoCellAnchor>
  <xdr:twoCellAnchor editAs="oneCell">
    <xdr:from>
      <xdr:col>10</xdr:col>
      <xdr:colOff>537796</xdr:colOff>
      <xdr:row>23</xdr:row>
      <xdr:rowOff>180242</xdr:rowOff>
    </xdr:from>
    <xdr:to>
      <xdr:col>35</xdr:col>
      <xdr:colOff>552555</xdr:colOff>
      <xdr:row>35</xdr:row>
      <xdr:rowOff>2380</xdr:rowOff>
    </xdr:to>
    <xdr:pic>
      <xdr:nvPicPr>
        <xdr:cNvPr id="3" name="Grafik 2" descr="Bildschirmausschnitt">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14996" y="4695092"/>
          <a:ext cx="8987309" cy="2184338"/>
        </a:xfrm>
        <a:prstGeom prst="rect">
          <a:avLst/>
        </a:prstGeom>
      </xdr:spPr>
    </xdr:pic>
    <xdr:clientData/>
  </xdr:twoCellAnchor>
  <xdr:twoCellAnchor editAs="oneCell">
    <xdr:from>
      <xdr:col>35</xdr:col>
      <xdr:colOff>541020</xdr:colOff>
      <xdr:row>6</xdr:row>
      <xdr:rowOff>182880</xdr:rowOff>
    </xdr:from>
    <xdr:to>
      <xdr:col>40</xdr:col>
      <xdr:colOff>267955</xdr:colOff>
      <xdr:row>20</xdr:row>
      <xdr:rowOff>41482</xdr:rowOff>
    </xdr:to>
    <xdr:pic>
      <xdr:nvPicPr>
        <xdr:cNvPr id="4" name="Immagin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8867120" y="1485900"/>
          <a:ext cx="3576940" cy="26322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15</xdr:row>
      <xdr:rowOff>0</xdr:rowOff>
    </xdr:from>
    <xdr:to>
      <xdr:col>7</xdr:col>
      <xdr:colOff>0</xdr:colOff>
      <xdr:row>26</xdr:row>
      <xdr:rowOff>39732</xdr:rowOff>
    </xdr:to>
    <xdr:pic>
      <xdr:nvPicPr>
        <xdr:cNvPr id="2" name="Immagin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019300" y="3267075"/>
          <a:ext cx="3009900" cy="2146662"/>
        </a:xfrm>
        <a:prstGeom prst="rect">
          <a:avLst/>
        </a:prstGeom>
      </xdr:spPr>
    </xdr:pic>
    <xdr:clientData/>
  </xdr:twoCellAnchor>
  <xdr:twoCellAnchor editAs="oneCell">
    <xdr:from>
      <xdr:col>9</xdr:col>
      <xdr:colOff>1</xdr:colOff>
      <xdr:row>1</xdr:row>
      <xdr:rowOff>0</xdr:rowOff>
    </xdr:from>
    <xdr:to>
      <xdr:col>19</xdr:col>
      <xdr:colOff>1</xdr:colOff>
      <xdr:row>21</xdr:row>
      <xdr:rowOff>64438</xdr:rowOff>
    </xdr:to>
    <xdr:pic>
      <xdr:nvPicPr>
        <xdr:cNvPr id="3" name="Immagin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5991226" y="190500"/>
          <a:ext cx="5905500" cy="4276393"/>
        </a:xfrm>
        <a:prstGeom prst="rect">
          <a:avLst/>
        </a:prstGeom>
      </xdr:spPr>
    </xdr:pic>
    <xdr:clientData/>
  </xdr:twoCellAnchor>
  <xdr:twoCellAnchor editAs="oneCell">
    <xdr:from>
      <xdr:col>4</xdr:col>
      <xdr:colOff>400050</xdr:colOff>
      <xdr:row>38</xdr:row>
      <xdr:rowOff>0</xdr:rowOff>
    </xdr:from>
    <xdr:to>
      <xdr:col>14</xdr:col>
      <xdr:colOff>64770</xdr:colOff>
      <xdr:row>49</xdr:row>
      <xdr:rowOff>105854</xdr:rowOff>
    </xdr:to>
    <xdr:pic>
      <xdr:nvPicPr>
        <xdr:cNvPr id="4" name="Immagin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3076575" y="6858000"/>
          <a:ext cx="6143625" cy="21899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220755</xdr:colOff>
      <xdr:row>73</xdr:row>
      <xdr:rowOff>29136</xdr:rowOff>
    </xdr:from>
    <xdr:to>
      <xdr:col>24</xdr:col>
      <xdr:colOff>276759</xdr:colOff>
      <xdr:row>79</xdr:row>
      <xdr:rowOff>127501</xdr:rowOff>
    </xdr:to>
    <xdr:pic>
      <xdr:nvPicPr>
        <xdr:cNvPr id="2" name="Immagin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0650630" y="16459761"/>
          <a:ext cx="5536689" cy="11804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eonardo Silvestri" id="{7E8031DE-E2D9-4298-9E36-70E04938FB2C}" userId="S::Leonardo.Silvestri@rothoblaas.com::ddd85e3b-1a66-4c5d-93ae-cdbc81938721"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0C71B0-4BDD-4288-BBA5-E66F3027B9AE}" name="LEN_CON" displayName="LEN_CON" ref="B8:H36" totalsRowShown="0" headerRowDxfId="475" dataDxfId="474">
  <autoFilter ref="B8:H36" xr:uid="{560C71B0-4BDD-4288-BBA5-E66F3027B9AE}"/>
  <tableColumns count="7">
    <tableColumn id="1" xr3:uid="{0BBB1E42-D493-431E-B038-D1D1A9CADA6F}" name="Column1" dataDxfId="473"/>
    <tableColumn id="2" xr3:uid="{4AFD3BBB-EDFA-425C-994E-155F33358A8E}" name="IT" dataDxfId="472"/>
    <tableColumn id="3" xr3:uid="{EE4622FC-2489-45CD-A9FD-3446FE0F7BAC}" name="EN" dataDxfId="471"/>
    <tableColumn id="4" xr3:uid="{95A50678-7E94-4F69-AC23-AA1E1B8B55F9}" name="DE" dataDxfId="470"/>
    <tableColumn id="5" xr3:uid="{F63F9F05-9CB6-4C14-BFB3-F6EA2D7D17C2}" name="FR" dataDxfId="469"/>
    <tableColumn id="6" xr3:uid="{6FDC9857-52B4-4181-8AD0-6473C0DF8402}" name="ES" dataDxfId="468"/>
    <tableColumn id="7" xr3:uid="{D7C81DFC-BBB5-456D-9B63-9F6AA3E86D23}" name="Column2" dataDxfId="467"/>
  </tableColumns>
  <tableStyleInfo name="TableStyleLight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F8F65B-19E7-4FB7-8602-069AD0F03333}" name="kmod" displayName="kmod" ref="I62:N65" totalsRowShown="0" headerRowDxfId="38" dataDxfId="37">
  <autoFilter ref="I62:N65" xr:uid="{BEF8F65B-19E7-4FB7-8602-069AD0F03333}">
    <filterColumn colId="0" hiddenButton="1"/>
    <filterColumn colId="1" hiddenButton="1"/>
    <filterColumn colId="2" hiddenButton="1"/>
    <filterColumn colId="3" hiddenButton="1"/>
    <filterColumn colId="4" hiddenButton="1"/>
    <filterColumn colId="5" hiddenButton="1"/>
  </autoFilter>
  <tableColumns count="6">
    <tableColumn id="1" xr3:uid="{1FC5436B-94D3-46EF-8BF8-88450BF4377E}" name="CS" dataDxfId="36"/>
    <tableColumn id="2" xr3:uid="{6D67E56B-55E1-43C8-B20B-566A85B2FD20}" name="Permanent" dataDxfId="35"/>
    <tableColumn id="3" xr3:uid="{9DAF15DD-16D2-4F1F-9278-5BB802E2D139}" name="Long term" dataDxfId="34"/>
    <tableColumn id="4" xr3:uid="{A185E14A-63C4-434D-9F8D-076CC7A36334}" name="Medium term" dataDxfId="33"/>
    <tableColumn id="5" xr3:uid="{B7D34EEF-7E64-48EF-9F3D-340AA0873BCB}" name="Short term" dataDxfId="32"/>
    <tableColumn id="6" xr3:uid="{29828CAB-C63B-45DD-95D7-C8CD49670A0D}" name="Istantaneous" dataDxfId="31"/>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ACBB546-EDCB-4E31-9405-B5FAE461EAB1}" name="TimberType" displayName="TimberType" ref="A3:S43" totalsRowShown="0" headerRowDxfId="30" dataDxfId="29">
  <autoFilter ref="A3:S43" xr:uid="{CACBB546-EDCB-4E31-9405-B5FAE461EA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74ACEB7-00CC-4533-948E-C14FF1E38F65}" name="Classe" dataDxfId="28"/>
    <tableColumn id="2" xr3:uid="{B4982589-6C5A-4D43-A4B7-E5BE800CDFAB}" name="fm,k" dataDxfId="27"/>
    <tableColumn id="3" xr3:uid="{7F5E3E4D-D919-4F8F-B697-E2DAE65AF61E}" name="ft,0,k" dataDxfId="26"/>
    <tableColumn id="4" xr3:uid="{0E1F8A1E-6238-467B-A2F1-393E5769EA31}" name="ft,90,k" dataDxfId="25"/>
    <tableColumn id="5" xr3:uid="{8BD4E180-FE1C-4ACD-992C-8D9AE942944E}" name="fc,0,k" dataDxfId="24"/>
    <tableColumn id="6" xr3:uid="{5CE6B473-7DB0-48FD-B698-052CA1947676}" name="fc,90,k" dataDxfId="23"/>
    <tableColumn id="7" xr3:uid="{9ABD35F2-B0FD-40FE-A04B-05201AEDC0F7}" name="fv,k" dataDxfId="22"/>
    <tableColumn id="16" xr3:uid="{BEF41BAA-2CF1-4445-B0CE-B72FE929CF76}" name="fr,k" dataDxfId="21"/>
    <tableColumn id="8" xr3:uid="{88D7C42C-873D-4A41-8132-C18D387BD9FC}" name="E0,mean" dataDxfId="20"/>
    <tableColumn id="10" xr3:uid="{CDBC70A5-CCB4-4EB5-9E41-76D19D898A10}" name="E0,05" dataDxfId="19"/>
    <tableColumn id="17" xr3:uid="{8FE67E4C-51EF-4359-9926-A635417B1FCB}" name="E90,mean" dataDxfId="18"/>
    <tableColumn id="18" xr3:uid="{6F8AFD6F-97BD-4E92-87BC-3824AD730B9D}" name="E90,05" dataDxfId="17"/>
    <tableColumn id="9" xr3:uid="{30063F16-F5A9-496F-B1E1-CCEA94734AD5}" name="Gmean" dataDxfId="16"/>
    <tableColumn id="14" xr3:uid="{5DD441A5-C557-4B12-9D4E-F6603BDD0355}" name="G05" dataDxfId="15"/>
    <tableColumn id="19" xr3:uid="{87D3C466-FD0E-4847-8740-59D28871C51D}" name="Gr,mean" dataDxfId="14"/>
    <tableColumn id="20" xr3:uid="{C1A79D1B-6D48-4EF4-8051-08606A6EC691}" name="Gr,05" dataDxfId="13"/>
    <tableColumn id="12" xr3:uid="{7E19960E-1EC3-4958-9954-BFE9AEB9A471}" name="ρk" dataDxfId="12"/>
    <tableColumn id="11" xr3:uid="{8DCA15AB-E287-4815-808B-E6E2647284C3}" name="ρmean" dataDxfId="11"/>
    <tableColumn id="13" xr3:uid="{CB7B6C40-8C86-42E8-9F7F-D88B92DE4D9E}" name="γM" dataDxfId="10">
      <calculatedColumnFormula>IF(LEFT(TimberType[[#This Row],[Classe]])="GL",IF(Input!$I$5=RefText_DB!$B$4,1.25,1.45),IF(Input!$I$5=RefText_DB!$B$4,1.3,1.5))</calculatedColumnFormula>
    </tableColumn>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3E73C0-87EE-4C00-BA4E-57A3696EE2CB}" name="kdef" displayName="kdef" ref="I67:J70" totalsRowShown="0" headerRowDxfId="9" dataDxfId="8">
  <autoFilter ref="I67:J70" xr:uid="{293E73C0-87EE-4C00-BA4E-57A3696EE2CB}">
    <filterColumn colId="0" hiddenButton="1"/>
    <filterColumn colId="1" hiddenButton="1"/>
  </autoFilter>
  <tableColumns count="2">
    <tableColumn id="1" xr3:uid="{7452BA1C-96E6-484F-B7C8-EA5B9AA8CD14}" name="CS" dataDxfId="7"/>
    <tableColumn id="2" xr3:uid="{130E1345-2D9C-46A3-AFE4-C084819A12E7}" name="Quasi Permanenti" dataDxfId="6"/>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5978DE-EF6B-4C80-A7C2-BA488F8FA549}" name="γ" displayName="γ" ref="I72:L79" totalsRowShown="0" headerRowDxfId="5" dataDxfId="4" headerRowCellStyle="Normale 2" dataCellStyle="Normale 2">
  <autoFilter ref="I72:L79" xr:uid="{C25978DE-EF6B-4C80-A7C2-BA488F8FA549}">
    <filterColumn colId="0" hiddenButton="1"/>
    <filterColumn colId="1" hiddenButton="1"/>
    <filterColumn colId="2" hiddenButton="1"/>
    <filterColumn colId="3" hiddenButton="1"/>
  </autoFilter>
  <tableColumns count="4">
    <tableColumn id="1" xr3:uid="{BA0AA8C9-BA53-4F5B-BFD2-6D5FE08F8E83}" name="γ" dataDxfId="3" dataCellStyle="Normale 2"/>
    <tableColumn id="2" xr3:uid="{5A049B44-F561-43E7-846B-57E4A52AE4C3}" name="Description" dataDxfId="2" dataCellStyle="Normale 2"/>
    <tableColumn id="3" xr3:uid="{197C524E-4300-484D-84A7-C5FC96FC1ADB}" name="UNI EN 1995:2014" dataDxfId="1" dataCellStyle="Normale 2"/>
    <tableColumn id="4" xr3:uid="{9FEF387F-583F-406F-903A-A30D230C2A8D}" name="NTC2018" dataDxfId="0" dataCellStyle="Normale 2"/>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099F735-8A9B-47AB-9E32-721F6F0166F2}" name="Table13" displayName="Table13" ref="I82:J86" totalsRowShown="0">
  <autoFilter ref="I82:J86" xr:uid="{6099F735-8A9B-47AB-9E32-721F6F0166F2}"/>
  <tableColumns count="2">
    <tableColumn id="1" xr3:uid="{E425D065-A85D-4C92-A1C8-0BA4016E8BEC}" name="Tipo pannello"/>
    <tableColumn id="2" xr3:uid="{8C36AA16-9D5B-4928-B102-2A20CD14FBFF}" name="ρk"/>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622B30-7A05-4AF1-8C26-EF4998469E11}" name="LEN_IN" displayName="LEN_IN" ref="B40:H87" totalsRowShown="0" headerRowDxfId="466" dataDxfId="465">
  <autoFilter ref="B40:H87" xr:uid="{E6622B30-7A05-4AF1-8C26-EF4998469E11}"/>
  <tableColumns count="7">
    <tableColumn id="1" xr3:uid="{BF4AFDE4-4755-4F7D-B3B8-CD90D88415DB}" name="Column1" dataDxfId="464"/>
    <tableColumn id="2" xr3:uid="{45557EAF-9863-4854-9157-3EA742CC5BF5}" name="IT" dataDxfId="463"/>
    <tableColumn id="3" xr3:uid="{794F9B4C-6A9E-4FF2-8549-30FE9C9B6463}" name="EN" dataDxfId="462"/>
    <tableColumn id="4" xr3:uid="{9BA32C89-6909-4089-A810-29B76CB0FA76}" name="DE" dataDxfId="461"/>
    <tableColumn id="5" xr3:uid="{849CEAC6-CC29-4A7F-9D84-25071427154A}" name="FR" dataDxfId="460"/>
    <tableColumn id="6" xr3:uid="{CF574B68-E149-42C9-86E8-90AD687BB091}" name="ES" dataDxfId="459"/>
    <tableColumn id="7" xr3:uid="{CEB5E52A-D2C5-4267-86CC-A9104374E08E}" name="Column2" dataDxfId="458"/>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6C235B-6FEA-4404-8DF5-B702C0C8CCB8}" name="LEN_OUT" displayName="LEN_OUT" ref="B91:H128" totalsRowShown="0" headerRowDxfId="457" dataDxfId="456">
  <autoFilter ref="B91:H128" xr:uid="{DC6C235B-6FEA-4404-8DF5-B702C0C8CCB8}"/>
  <tableColumns count="7">
    <tableColumn id="1" xr3:uid="{ABDD243E-20DA-4C47-8AA8-128794A38EA2}" name="Column1" dataDxfId="455"/>
    <tableColumn id="2" xr3:uid="{97D5F1A6-8A4D-4DA1-967C-2D1886806CE7}" name="IT" dataDxfId="454"/>
    <tableColumn id="3" xr3:uid="{7072D6B5-B9F3-4E58-89B2-C2D18BD46D0B}" name="EN" dataDxfId="453"/>
    <tableColumn id="4" xr3:uid="{95FAAE6B-B014-4F8E-B7E8-0E40B888ADD5}" name="DE" dataDxfId="452"/>
    <tableColumn id="5" xr3:uid="{3BB1FD43-C703-4DD3-9380-F6263FE1B56E}" name="FR" dataDxfId="451"/>
    <tableColumn id="6" xr3:uid="{551254EF-BBD5-4D33-985E-3C0D45526F4D}" name="ES" dataDxfId="450"/>
    <tableColumn id="7" xr3:uid="{9F12A8EC-831B-493C-AD91-9D502EA34DB3}" name="Column2" dataDxfId="449"/>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88A9C9A-8C69-432C-8125-2FE475E801FE}" name="LEN_REPORT" displayName="LEN_REPORT" ref="B132:H257" totalsRowShown="0" headerRowDxfId="448" dataDxfId="447">
  <autoFilter ref="B132:H257" xr:uid="{988A9C9A-8C69-432C-8125-2FE475E801FE}"/>
  <tableColumns count="7">
    <tableColumn id="1" xr3:uid="{D10562C6-C9AC-487C-A85D-C54366D0E949}" name="Column1" dataDxfId="446"/>
    <tableColumn id="2" xr3:uid="{0EAD4592-50D1-4248-B0D6-5383AE54A28E}" name="IT" dataDxfId="445"/>
    <tableColumn id="3" xr3:uid="{81F337E0-B562-41A0-8697-F939F4629498}" name="EN" dataDxfId="444"/>
    <tableColumn id="4" xr3:uid="{666CF8CC-F7AC-4345-9FAD-33DCF1A2AB48}" name="DE" dataDxfId="443"/>
    <tableColumn id="5" xr3:uid="{78C58601-4AFA-4A7A-8198-7AAA87D6DA22}" name="FR" dataDxfId="442"/>
    <tableColumn id="6" xr3:uid="{A21FFFD4-06FA-49C1-8ED0-16690C51F389}" name="ES" dataDxfId="441"/>
    <tableColumn id="7" xr3:uid="{41FB0F36-2CF7-442F-8719-CC752B44753D}" name="Column2" dataDxfId="440"/>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2659755-4ECC-4F94-91F9-5A50BFB9D131}" name="J_MidSpan" displayName="J_MidSpan" ref="AA9:AB21" totalsRowCount="1" headerRowDxfId="65" dataDxfId="64" tableBorderDxfId="63">
  <autoFilter ref="AA9:AB20" xr:uid="{12659755-4ECC-4F94-91F9-5A50BFB9D131}">
    <filterColumn colId="0" hiddenButton="1"/>
    <filterColumn colId="1" hiddenButton="1"/>
  </autoFilter>
  <tableColumns count="2">
    <tableColumn id="1" xr3:uid="{99EE0DE8-7D56-4B2C-9E1E-B9B833F746AF}" name="jxx,i" totalsRowFunction="sum" dataDxfId="62" totalsRowDxfId="61"/>
    <tableColumn id="2" xr3:uid="{6DF0957B-540D-43FD-A086-18A389845565}" name="Jy,i" totalsRowFunction="sum" dataDxfId="60" totalsRowDxfId="59"/>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E29917A-2886-4108-9355-8FDC7836C885}" name="J_Support" displayName="J_Support" ref="AF9:AG21" totalsRowCount="1" headerRowDxfId="58" dataDxfId="57" tableBorderDxfId="56">
  <autoFilter ref="AF9:AG20" xr:uid="{7E29917A-2886-4108-9355-8FDC7836C885}">
    <filterColumn colId="0" hiddenButton="1"/>
    <filterColumn colId="1" hiddenButton="1"/>
  </autoFilter>
  <tableColumns count="2">
    <tableColumn id="1" xr3:uid="{41C8385F-C9AA-4138-A897-11A916BD8D6A}" name="jxx,i" totalsRowFunction="sum" dataDxfId="55" totalsRowDxfId="54"/>
    <tableColumn id="2" xr3:uid="{6D3F3067-A355-441F-8850-9CA0A59BDDB5}" name="Jy,i" totalsRowFunction="sum" dataDxfId="53" totalsRowDxfId="5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7CE7A5D-B4B1-4000-9792-37A2E7E52BFD}" name="A_MidSpan" displayName="A_MidSpan" ref="AC9:AD21" totalsRowCount="1" headerRowDxfId="51" dataDxfId="50">
  <autoFilter ref="AC9:AD20" xr:uid="{E7CE7A5D-B4B1-4000-9792-37A2E7E52BFD}"/>
  <tableColumns count="2">
    <tableColumn id="1" xr3:uid="{00202DFA-C2AF-4628-9B04-A507BDF53868}" name="AX" totalsRowFunction="sum" dataDxfId="49" totalsRowDxfId="48"/>
    <tableColumn id="2" xr3:uid="{F0A43EE2-0F6D-41FD-8118-59DD7DE53834}" name="AY" totalsRowFunction="sum" dataDxfId="47" totalsRowDxfId="46"/>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B0C2F05-56D3-4D1D-A17B-19E4C8D34160}" name="A_Support" displayName="A_Support" ref="AH9:AI21" totalsRowCount="1" headerRowDxfId="45" dataDxfId="44">
  <autoFilter ref="AH9:AI20" xr:uid="{4B0C2F05-56D3-4D1D-A17B-19E4C8D34160}"/>
  <tableColumns count="2">
    <tableColumn id="1" xr3:uid="{98226957-7F83-49D1-A603-80659A915856}" name="AX" totalsRowFunction="sum" dataDxfId="43" totalsRowDxfId="42"/>
    <tableColumn id="2" xr3:uid="{DE7EAB91-8287-46FC-B9F7-A9AA6B055FEC}" name="AY" totalsRowFunction="sum" dataDxfId="41" totalsRowDxfId="40"/>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A47BAF-4670-4CBE-BED4-0087EC9EF9AF}" name="CLT" displayName="CLT" ref="C3:P48" totalsRowShown="0">
  <autoFilter ref="C3:P48" xr:uid="{50A47BAF-4670-4CBE-BED4-0087EC9EF9AF}"/>
  <tableColumns count="14">
    <tableColumn id="1" xr3:uid="{72E130C3-7DF7-4A17-BBCE-BD411A16B98D}" name="Prod"/>
    <tableColumn id="2" xr3:uid="{CD612E5E-9914-4396-99CB-666C37460F77}" name="h"/>
    <tableColumn id="3" xr3:uid="{354B0595-F172-4BF7-B4D8-ADD9B6BB2F13}" name="Layers" dataDxfId="39">
      <calculatedColumnFormula>LEFT(CLT[[#This Row],[Layers (code)]],1)</calculatedColumnFormula>
    </tableColumn>
    <tableColumn id="4" xr3:uid="{08193715-0A88-49D6-A8D4-CBF6244E6FA7}" name="Layers (code)"/>
    <tableColumn id="5" xr3:uid="{870CDC32-8D4E-40A3-A82D-8E5DC11D5844}" name="Code"/>
    <tableColumn id="6" xr3:uid="{2C1CE74B-4B64-485D-B4B4-2E8EB96619B5}" name="9"/>
    <tableColumn id="7" xr3:uid="{BF724625-F575-4056-AC07-2BC063F6B1DE}" name="7"/>
    <tableColumn id="8" xr3:uid="{13456BAB-8201-4F09-A817-7E4E0FB9719F}" name="5"/>
    <tableColumn id="9" xr3:uid="{53023BC0-395E-4800-A9D2-90F70196B376}" name="3"/>
    <tableColumn id="10" xr3:uid="{06FCC73A-1743-41F7-B2A6-4B2249650CFA}" name="0"/>
    <tableColumn id="11" xr3:uid="{8AE0AECC-BED6-4058-B9A4-97BB4AFAF88C}" name="3'"/>
    <tableColumn id="12" xr3:uid="{ED44040F-D08A-49F9-9E2E-FB10B1F9492C}" name="5'"/>
    <tableColumn id="13" xr3:uid="{90901D45-E646-442C-881A-2DCCCEDE7E5A}" name="7'"/>
    <tableColumn id="14" xr3:uid="{5E841E91-5584-49DF-B29D-13B2FFB5F339}" name="9'"/>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50" dT="2026-04-13T06:28:44.61" personId="{7E8031DE-E2D9-4298-9E36-70E04938FB2C}" id="{C743A8A0-71DC-4852-8A99-995DBCF7E9E5}">
    <text>È stata utilizzata una media dei valori tra kdef clt e kdef glulam/massiccio in accordo a storaenso:
 kdef=(kdef_clt x kdef_wood)^0.5</text>
  </threadedComment>
</ThreadedComments>
</file>

<file path=xl/threadedComments/threadedComment2.xml><?xml version="1.0" encoding="utf-8"?>
<ThreadedComments xmlns="http://schemas.microsoft.com/office/spreadsheetml/2018/threadedcomments" xmlns:x="http://schemas.openxmlformats.org/spreadsheetml/2006/main">
  <threadedComment ref="B217" dT="2026-04-13T06:28:44.61" personId="{7E8031DE-E2D9-4298-9E36-70E04938FB2C}" id="{281A4FA9-D5B6-47E1-BC15-771246F035E2}">
    <text>È stata utilizzata una media dei valori tra kdef clt e kdef glulam/massiccio in accordo a storaenso:
 kdef=(kdef_clt x kdef_wood)^0.5</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976"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2C19147-1E8A-4EC3-8D3C-F9989E576C07}">
  <we:reference id="WA200009404" version="1.0.0.8" store="Omex" storeType="OMEX"/>
  <we:alternateReferences>
    <we:reference id="WA200009404" version="1.0.0.8" store="WA200009404" storeType="OMEX"/>
  </we:alternateReferences>
  <we:properties>
    <we:property name="claude.fileId" value="&quot;afc5b84c-066f-4a81-bea1-086f9f67aae8&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othoblaas.com/privacy-policy"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17" Type="http://schemas.openxmlformats.org/officeDocument/2006/relationships/oleObject" Target="../embeddings/oleObject73.bin"/><Relationship Id="rId21" Type="http://schemas.openxmlformats.org/officeDocument/2006/relationships/oleObject" Target="../embeddings/oleObject9.bin"/><Relationship Id="rId42" Type="http://schemas.openxmlformats.org/officeDocument/2006/relationships/oleObject" Target="../embeddings/oleObject20.bin"/><Relationship Id="rId47" Type="http://schemas.openxmlformats.org/officeDocument/2006/relationships/image" Target="../media/image29.emf"/><Relationship Id="rId63" Type="http://schemas.openxmlformats.org/officeDocument/2006/relationships/image" Target="../media/image36.emf"/><Relationship Id="rId68" Type="http://schemas.openxmlformats.org/officeDocument/2006/relationships/oleObject" Target="../embeddings/oleObject34.bin"/><Relationship Id="rId84" Type="http://schemas.openxmlformats.org/officeDocument/2006/relationships/image" Target="../media/image43.emf"/><Relationship Id="rId89" Type="http://schemas.openxmlformats.org/officeDocument/2006/relationships/oleObject" Target="../embeddings/oleObject48.bin"/><Relationship Id="rId112" Type="http://schemas.openxmlformats.org/officeDocument/2006/relationships/oleObject" Target="../embeddings/oleObject69.bin"/><Relationship Id="rId16" Type="http://schemas.openxmlformats.org/officeDocument/2006/relationships/image" Target="../media/image14.emf"/><Relationship Id="rId107" Type="http://schemas.openxmlformats.org/officeDocument/2006/relationships/oleObject" Target="../embeddings/oleObject64.bin"/><Relationship Id="rId11" Type="http://schemas.openxmlformats.org/officeDocument/2006/relationships/oleObject" Target="../embeddings/oleObject4.bin"/><Relationship Id="rId32" Type="http://schemas.openxmlformats.org/officeDocument/2006/relationships/image" Target="../media/image22.emf"/><Relationship Id="rId37" Type="http://schemas.openxmlformats.org/officeDocument/2006/relationships/oleObject" Target="../embeddings/oleObject17.bin"/><Relationship Id="rId53" Type="http://schemas.openxmlformats.org/officeDocument/2006/relationships/image" Target="../media/image32.emf"/><Relationship Id="rId58" Type="http://schemas.openxmlformats.org/officeDocument/2006/relationships/oleObject" Target="../embeddings/oleObject29.bin"/><Relationship Id="rId74" Type="http://schemas.openxmlformats.org/officeDocument/2006/relationships/oleObject" Target="../embeddings/oleObject37.bin"/><Relationship Id="rId79" Type="http://schemas.openxmlformats.org/officeDocument/2006/relationships/oleObject" Target="../embeddings/oleObject42.bin"/><Relationship Id="rId102" Type="http://schemas.openxmlformats.org/officeDocument/2006/relationships/oleObject" Target="../embeddings/oleObject59.bin"/><Relationship Id="rId123" Type="http://schemas.openxmlformats.org/officeDocument/2006/relationships/oleObject" Target="../embeddings/oleObject78.bin"/><Relationship Id="rId128" Type="http://schemas.openxmlformats.org/officeDocument/2006/relationships/oleObject" Target="../embeddings/oleObject83.bin"/><Relationship Id="rId5" Type="http://schemas.openxmlformats.org/officeDocument/2006/relationships/oleObject" Target="../embeddings/oleObject1.bin"/><Relationship Id="rId90" Type="http://schemas.openxmlformats.org/officeDocument/2006/relationships/oleObject" Target="../embeddings/oleObject49.bin"/><Relationship Id="rId95" Type="http://schemas.openxmlformats.org/officeDocument/2006/relationships/oleObject" Target="../embeddings/oleObject52.bin"/><Relationship Id="rId22" Type="http://schemas.openxmlformats.org/officeDocument/2006/relationships/image" Target="../media/image17.emf"/><Relationship Id="rId27" Type="http://schemas.openxmlformats.org/officeDocument/2006/relationships/oleObject" Target="../embeddings/oleObject12.bin"/><Relationship Id="rId43" Type="http://schemas.openxmlformats.org/officeDocument/2006/relationships/image" Target="../media/image27.emf"/><Relationship Id="rId48" Type="http://schemas.openxmlformats.org/officeDocument/2006/relationships/oleObject" Target="../embeddings/oleObject23.bin"/><Relationship Id="rId64" Type="http://schemas.openxmlformats.org/officeDocument/2006/relationships/oleObject" Target="../embeddings/oleObject32.bin"/><Relationship Id="rId69" Type="http://schemas.openxmlformats.org/officeDocument/2006/relationships/image" Target="../media/image39.emf"/><Relationship Id="rId113" Type="http://schemas.openxmlformats.org/officeDocument/2006/relationships/oleObject" Target="../embeddings/oleObject70.bin"/><Relationship Id="rId118" Type="http://schemas.openxmlformats.org/officeDocument/2006/relationships/image" Target="../media/image49.emf"/><Relationship Id="rId80" Type="http://schemas.openxmlformats.org/officeDocument/2006/relationships/image" Target="../media/image42.emf"/><Relationship Id="rId85" Type="http://schemas.openxmlformats.org/officeDocument/2006/relationships/oleObject" Target="../embeddings/oleObject46.bin"/><Relationship Id="rId12" Type="http://schemas.openxmlformats.org/officeDocument/2006/relationships/image" Target="../media/image12.emf"/><Relationship Id="rId17" Type="http://schemas.openxmlformats.org/officeDocument/2006/relationships/oleObject" Target="../embeddings/oleObject7.bin"/><Relationship Id="rId33" Type="http://schemas.openxmlformats.org/officeDocument/2006/relationships/oleObject" Target="../embeddings/oleObject15.bin"/><Relationship Id="rId38" Type="http://schemas.openxmlformats.org/officeDocument/2006/relationships/oleObject" Target="../embeddings/oleObject18.bin"/><Relationship Id="rId59" Type="http://schemas.openxmlformats.org/officeDocument/2006/relationships/image" Target="../media/image34.emf"/><Relationship Id="rId103" Type="http://schemas.openxmlformats.org/officeDocument/2006/relationships/oleObject" Target="../embeddings/oleObject60.bin"/><Relationship Id="rId108" Type="http://schemas.openxmlformats.org/officeDocument/2006/relationships/oleObject" Target="../embeddings/oleObject65.bin"/><Relationship Id="rId124" Type="http://schemas.openxmlformats.org/officeDocument/2006/relationships/oleObject" Target="../embeddings/oleObject79.bin"/><Relationship Id="rId129" Type="http://schemas.openxmlformats.org/officeDocument/2006/relationships/comments" Target="../comments1.xml"/><Relationship Id="rId54" Type="http://schemas.openxmlformats.org/officeDocument/2006/relationships/oleObject" Target="../embeddings/oleObject26.bin"/><Relationship Id="rId70" Type="http://schemas.openxmlformats.org/officeDocument/2006/relationships/oleObject" Target="../embeddings/oleObject35.bin"/><Relationship Id="rId75" Type="http://schemas.openxmlformats.org/officeDocument/2006/relationships/oleObject" Target="../embeddings/oleObject38.bin"/><Relationship Id="rId91" Type="http://schemas.openxmlformats.org/officeDocument/2006/relationships/image" Target="../media/image46.emf"/><Relationship Id="rId96" Type="http://schemas.openxmlformats.org/officeDocument/2006/relationships/oleObject" Target="../embeddings/oleObject53.bin"/><Relationship Id="rId1" Type="http://schemas.openxmlformats.org/officeDocument/2006/relationships/printerSettings" Target="../printerSettings/printerSettings5.bin"/><Relationship Id="rId6" Type="http://schemas.openxmlformats.org/officeDocument/2006/relationships/image" Target="../media/image9.emf"/><Relationship Id="rId23" Type="http://schemas.openxmlformats.org/officeDocument/2006/relationships/oleObject" Target="../embeddings/oleObject10.bin"/><Relationship Id="rId28" Type="http://schemas.openxmlformats.org/officeDocument/2006/relationships/image" Target="../media/image20.emf"/><Relationship Id="rId49" Type="http://schemas.openxmlformats.org/officeDocument/2006/relationships/image" Target="../media/image30.emf"/><Relationship Id="rId114" Type="http://schemas.openxmlformats.org/officeDocument/2006/relationships/oleObject" Target="../embeddings/oleObject71.bin"/><Relationship Id="rId119" Type="http://schemas.openxmlformats.org/officeDocument/2006/relationships/oleObject" Target="../embeddings/oleObject74.bin"/><Relationship Id="rId44" Type="http://schemas.openxmlformats.org/officeDocument/2006/relationships/oleObject" Target="../embeddings/oleObject21.bin"/><Relationship Id="rId60" Type="http://schemas.openxmlformats.org/officeDocument/2006/relationships/oleObject" Target="../embeddings/oleObject30.bin"/><Relationship Id="rId65" Type="http://schemas.openxmlformats.org/officeDocument/2006/relationships/image" Target="../media/image37.emf"/><Relationship Id="rId81" Type="http://schemas.openxmlformats.org/officeDocument/2006/relationships/oleObject" Target="../embeddings/oleObject43.bin"/><Relationship Id="rId86" Type="http://schemas.openxmlformats.org/officeDocument/2006/relationships/image" Target="../media/image44.emf"/><Relationship Id="rId130" Type="http://schemas.microsoft.com/office/2017/10/relationships/threadedComment" Target="../threadedComments/threadedComment1.xml"/><Relationship Id="rId13" Type="http://schemas.openxmlformats.org/officeDocument/2006/relationships/oleObject" Target="../embeddings/oleObject5.bin"/><Relationship Id="rId18" Type="http://schemas.openxmlformats.org/officeDocument/2006/relationships/image" Target="../media/image15.emf"/><Relationship Id="rId39" Type="http://schemas.openxmlformats.org/officeDocument/2006/relationships/image" Target="../media/image25.emf"/><Relationship Id="rId109" Type="http://schemas.openxmlformats.org/officeDocument/2006/relationships/oleObject" Target="../embeddings/oleObject66.bin"/><Relationship Id="rId34" Type="http://schemas.openxmlformats.org/officeDocument/2006/relationships/image" Target="../media/image23.emf"/><Relationship Id="rId50" Type="http://schemas.openxmlformats.org/officeDocument/2006/relationships/oleObject" Target="../embeddings/oleObject24.bin"/><Relationship Id="rId55" Type="http://schemas.openxmlformats.org/officeDocument/2006/relationships/image" Target="../media/image33.emf"/><Relationship Id="rId76" Type="http://schemas.openxmlformats.org/officeDocument/2006/relationships/oleObject" Target="../embeddings/oleObject39.bin"/><Relationship Id="rId97" Type="http://schemas.openxmlformats.org/officeDocument/2006/relationships/oleObject" Target="../embeddings/oleObject54.bin"/><Relationship Id="rId104" Type="http://schemas.openxmlformats.org/officeDocument/2006/relationships/oleObject" Target="../embeddings/oleObject61.bin"/><Relationship Id="rId120" Type="http://schemas.openxmlformats.org/officeDocument/2006/relationships/oleObject" Target="../embeddings/oleObject75.bin"/><Relationship Id="rId125" Type="http://schemas.openxmlformats.org/officeDocument/2006/relationships/oleObject" Target="../embeddings/oleObject80.bin"/><Relationship Id="rId7" Type="http://schemas.openxmlformats.org/officeDocument/2006/relationships/oleObject" Target="../embeddings/oleObject2.bin"/><Relationship Id="rId71" Type="http://schemas.openxmlformats.org/officeDocument/2006/relationships/image" Target="../media/image40.emf"/><Relationship Id="rId92" Type="http://schemas.openxmlformats.org/officeDocument/2006/relationships/oleObject" Target="../embeddings/oleObject50.bin"/><Relationship Id="rId2" Type="http://schemas.openxmlformats.org/officeDocument/2006/relationships/drawing" Target="../drawings/drawing4.xml"/><Relationship Id="rId29" Type="http://schemas.openxmlformats.org/officeDocument/2006/relationships/oleObject" Target="../embeddings/oleObject13.bin"/><Relationship Id="rId24" Type="http://schemas.openxmlformats.org/officeDocument/2006/relationships/image" Target="../media/image18.emf"/><Relationship Id="rId40" Type="http://schemas.openxmlformats.org/officeDocument/2006/relationships/oleObject" Target="../embeddings/oleObject19.bin"/><Relationship Id="rId45" Type="http://schemas.openxmlformats.org/officeDocument/2006/relationships/image" Target="../media/image28.emf"/><Relationship Id="rId66" Type="http://schemas.openxmlformats.org/officeDocument/2006/relationships/oleObject" Target="../embeddings/oleObject33.bin"/><Relationship Id="rId87" Type="http://schemas.openxmlformats.org/officeDocument/2006/relationships/oleObject" Target="../embeddings/oleObject47.bin"/><Relationship Id="rId110" Type="http://schemas.openxmlformats.org/officeDocument/2006/relationships/oleObject" Target="../embeddings/oleObject67.bin"/><Relationship Id="rId115" Type="http://schemas.openxmlformats.org/officeDocument/2006/relationships/oleObject" Target="../embeddings/oleObject72.bin"/><Relationship Id="rId61" Type="http://schemas.openxmlformats.org/officeDocument/2006/relationships/image" Target="../media/image35.emf"/><Relationship Id="rId82" Type="http://schemas.openxmlformats.org/officeDocument/2006/relationships/oleObject" Target="../embeddings/oleObject44.bin"/><Relationship Id="rId19" Type="http://schemas.openxmlformats.org/officeDocument/2006/relationships/oleObject" Target="../embeddings/oleObject8.bin"/><Relationship Id="rId14" Type="http://schemas.openxmlformats.org/officeDocument/2006/relationships/image" Target="../media/image13.emf"/><Relationship Id="rId30" Type="http://schemas.openxmlformats.org/officeDocument/2006/relationships/image" Target="../media/image21.emf"/><Relationship Id="rId35" Type="http://schemas.openxmlformats.org/officeDocument/2006/relationships/oleObject" Target="../embeddings/oleObject16.bin"/><Relationship Id="rId56" Type="http://schemas.openxmlformats.org/officeDocument/2006/relationships/oleObject" Target="../embeddings/oleObject27.bin"/><Relationship Id="rId77" Type="http://schemas.openxmlformats.org/officeDocument/2006/relationships/oleObject" Target="../embeddings/oleObject40.bin"/><Relationship Id="rId100" Type="http://schemas.openxmlformats.org/officeDocument/2006/relationships/oleObject" Target="../embeddings/oleObject57.bin"/><Relationship Id="rId105" Type="http://schemas.openxmlformats.org/officeDocument/2006/relationships/oleObject" Target="../embeddings/oleObject62.bin"/><Relationship Id="rId126" Type="http://schemas.openxmlformats.org/officeDocument/2006/relationships/oleObject" Target="../embeddings/oleObject81.bin"/><Relationship Id="rId8" Type="http://schemas.openxmlformats.org/officeDocument/2006/relationships/image" Target="../media/image10.emf"/><Relationship Id="rId51" Type="http://schemas.openxmlformats.org/officeDocument/2006/relationships/image" Target="../media/image31.emf"/><Relationship Id="rId72" Type="http://schemas.openxmlformats.org/officeDocument/2006/relationships/oleObject" Target="../embeddings/oleObject36.bin"/><Relationship Id="rId93" Type="http://schemas.openxmlformats.org/officeDocument/2006/relationships/image" Target="../media/image47.emf"/><Relationship Id="rId98" Type="http://schemas.openxmlformats.org/officeDocument/2006/relationships/oleObject" Target="../embeddings/oleObject55.bin"/><Relationship Id="rId121" Type="http://schemas.openxmlformats.org/officeDocument/2006/relationships/oleObject" Target="../embeddings/oleObject76.bin"/><Relationship Id="rId3" Type="http://schemas.openxmlformats.org/officeDocument/2006/relationships/vmlDrawing" Target="../drawings/vmlDrawing3.vml"/><Relationship Id="rId25" Type="http://schemas.openxmlformats.org/officeDocument/2006/relationships/oleObject" Target="../embeddings/oleObject11.bin"/><Relationship Id="rId46" Type="http://schemas.openxmlformats.org/officeDocument/2006/relationships/oleObject" Target="../embeddings/oleObject22.bin"/><Relationship Id="rId67" Type="http://schemas.openxmlformats.org/officeDocument/2006/relationships/image" Target="../media/image38.emf"/><Relationship Id="rId116" Type="http://schemas.openxmlformats.org/officeDocument/2006/relationships/image" Target="../media/image48.emf"/><Relationship Id="rId20" Type="http://schemas.openxmlformats.org/officeDocument/2006/relationships/image" Target="../media/image16.emf"/><Relationship Id="rId41" Type="http://schemas.openxmlformats.org/officeDocument/2006/relationships/image" Target="../media/image26.emf"/><Relationship Id="rId62" Type="http://schemas.openxmlformats.org/officeDocument/2006/relationships/oleObject" Target="../embeddings/oleObject31.bin"/><Relationship Id="rId83" Type="http://schemas.openxmlformats.org/officeDocument/2006/relationships/oleObject" Target="../embeddings/oleObject45.bin"/><Relationship Id="rId88" Type="http://schemas.openxmlformats.org/officeDocument/2006/relationships/image" Target="../media/image45.emf"/><Relationship Id="rId111" Type="http://schemas.openxmlformats.org/officeDocument/2006/relationships/oleObject" Target="../embeddings/oleObject68.bin"/><Relationship Id="rId15" Type="http://schemas.openxmlformats.org/officeDocument/2006/relationships/oleObject" Target="../embeddings/oleObject6.bin"/><Relationship Id="rId36" Type="http://schemas.openxmlformats.org/officeDocument/2006/relationships/image" Target="../media/image24.emf"/><Relationship Id="rId57" Type="http://schemas.openxmlformats.org/officeDocument/2006/relationships/oleObject" Target="../embeddings/oleObject28.bin"/><Relationship Id="rId106" Type="http://schemas.openxmlformats.org/officeDocument/2006/relationships/oleObject" Target="../embeddings/oleObject63.bin"/><Relationship Id="rId127" Type="http://schemas.openxmlformats.org/officeDocument/2006/relationships/oleObject" Target="../embeddings/oleObject82.bin"/><Relationship Id="rId10" Type="http://schemas.openxmlformats.org/officeDocument/2006/relationships/image" Target="../media/image11.emf"/><Relationship Id="rId31" Type="http://schemas.openxmlformats.org/officeDocument/2006/relationships/oleObject" Target="../embeddings/oleObject14.bin"/><Relationship Id="rId52" Type="http://schemas.openxmlformats.org/officeDocument/2006/relationships/oleObject" Target="../embeddings/oleObject25.bin"/><Relationship Id="rId73" Type="http://schemas.openxmlformats.org/officeDocument/2006/relationships/image" Target="../media/image41.emf"/><Relationship Id="rId78" Type="http://schemas.openxmlformats.org/officeDocument/2006/relationships/oleObject" Target="../embeddings/oleObject41.bin"/><Relationship Id="rId94" Type="http://schemas.openxmlformats.org/officeDocument/2006/relationships/oleObject" Target="../embeddings/oleObject51.bin"/><Relationship Id="rId99" Type="http://schemas.openxmlformats.org/officeDocument/2006/relationships/oleObject" Target="../embeddings/oleObject56.bin"/><Relationship Id="rId101" Type="http://schemas.openxmlformats.org/officeDocument/2006/relationships/oleObject" Target="../embeddings/oleObject58.bin"/><Relationship Id="rId122" Type="http://schemas.openxmlformats.org/officeDocument/2006/relationships/oleObject" Target="../embeddings/oleObject77.bin"/><Relationship Id="rId4" Type="http://schemas.openxmlformats.org/officeDocument/2006/relationships/vmlDrawing" Target="../drawings/vmlDrawing4.vml"/><Relationship Id="rId9" Type="http://schemas.openxmlformats.org/officeDocument/2006/relationships/oleObject" Target="../embeddings/oleObject3.bin"/><Relationship Id="rId26" Type="http://schemas.openxmlformats.org/officeDocument/2006/relationships/image" Target="../media/image19.emf"/></Relationships>
</file>

<file path=xl/worksheets/_rels/sheet7.xml.rels><?xml version="1.0" encoding="UTF-8" standalone="yes"?>
<Relationships xmlns="http://schemas.openxmlformats.org/package/2006/relationships"><Relationship Id="rId117" Type="http://schemas.openxmlformats.org/officeDocument/2006/relationships/oleObject" Target="../embeddings/oleObject147.bin"/><Relationship Id="rId21" Type="http://schemas.openxmlformats.org/officeDocument/2006/relationships/oleObject" Target="../embeddings/oleObject92.bin"/><Relationship Id="rId42" Type="http://schemas.openxmlformats.org/officeDocument/2006/relationships/image" Target="../media/image20.emf"/><Relationship Id="rId63" Type="http://schemas.openxmlformats.org/officeDocument/2006/relationships/oleObject" Target="../embeddings/oleObject114.bin"/><Relationship Id="rId84" Type="http://schemas.openxmlformats.org/officeDocument/2006/relationships/image" Target="../media/image64.emf"/><Relationship Id="rId138" Type="http://schemas.openxmlformats.org/officeDocument/2006/relationships/oleObject" Target="../embeddings/oleObject168.bin"/><Relationship Id="rId107" Type="http://schemas.openxmlformats.org/officeDocument/2006/relationships/oleObject" Target="../embeddings/oleObject140.bin"/><Relationship Id="rId11" Type="http://schemas.openxmlformats.org/officeDocument/2006/relationships/oleObject" Target="../embeddings/oleObject87.bin"/><Relationship Id="rId32" Type="http://schemas.openxmlformats.org/officeDocument/2006/relationships/image" Target="../media/image15.emf"/><Relationship Id="rId53" Type="http://schemas.openxmlformats.org/officeDocument/2006/relationships/oleObject" Target="../embeddings/oleObject109.bin"/><Relationship Id="rId74" Type="http://schemas.openxmlformats.org/officeDocument/2006/relationships/image" Target="../media/image45.emf"/><Relationship Id="rId128" Type="http://schemas.openxmlformats.org/officeDocument/2006/relationships/oleObject" Target="../embeddings/oleObject158.bin"/><Relationship Id="rId149" Type="http://schemas.openxmlformats.org/officeDocument/2006/relationships/oleObject" Target="../embeddings/oleObject178.bin"/><Relationship Id="rId5" Type="http://schemas.openxmlformats.org/officeDocument/2006/relationships/oleObject" Target="../embeddings/oleObject84.bin"/><Relationship Id="rId95" Type="http://schemas.openxmlformats.org/officeDocument/2006/relationships/oleObject" Target="../embeddings/oleObject132.bin"/><Relationship Id="rId22" Type="http://schemas.openxmlformats.org/officeDocument/2006/relationships/image" Target="../media/image10.emf"/><Relationship Id="rId27" Type="http://schemas.openxmlformats.org/officeDocument/2006/relationships/oleObject" Target="../embeddings/oleObject95.bin"/><Relationship Id="rId43" Type="http://schemas.openxmlformats.org/officeDocument/2006/relationships/oleObject" Target="../embeddings/oleObject103.bin"/><Relationship Id="rId48" Type="http://schemas.openxmlformats.org/officeDocument/2006/relationships/oleObject" Target="../embeddings/oleObject106.bin"/><Relationship Id="rId64" Type="http://schemas.openxmlformats.org/officeDocument/2006/relationships/image" Target="../media/image32.emf"/><Relationship Id="rId69" Type="http://schemas.openxmlformats.org/officeDocument/2006/relationships/oleObject" Target="../embeddings/oleObject118.bin"/><Relationship Id="rId113" Type="http://schemas.openxmlformats.org/officeDocument/2006/relationships/image" Target="../media/image47.emf"/><Relationship Id="rId118" Type="http://schemas.openxmlformats.org/officeDocument/2006/relationships/oleObject" Target="../embeddings/oleObject148.bin"/><Relationship Id="rId134" Type="http://schemas.openxmlformats.org/officeDocument/2006/relationships/oleObject" Target="../embeddings/oleObject164.bin"/><Relationship Id="rId139" Type="http://schemas.openxmlformats.org/officeDocument/2006/relationships/oleObject" Target="../embeddings/oleObject169.bin"/><Relationship Id="rId80" Type="http://schemas.openxmlformats.org/officeDocument/2006/relationships/oleObject" Target="../embeddings/oleObject124.bin"/><Relationship Id="rId85" Type="http://schemas.openxmlformats.org/officeDocument/2006/relationships/oleObject" Target="../embeddings/oleObject127.bin"/><Relationship Id="rId150" Type="http://schemas.openxmlformats.org/officeDocument/2006/relationships/image" Target="../media/image49.emf"/><Relationship Id="rId12" Type="http://schemas.openxmlformats.org/officeDocument/2006/relationships/image" Target="../media/image59.emf"/><Relationship Id="rId17" Type="http://schemas.openxmlformats.org/officeDocument/2006/relationships/oleObject" Target="../embeddings/oleObject90.bin"/><Relationship Id="rId33" Type="http://schemas.openxmlformats.org/officeDocument/2006/relationships/oleObject" Target="../embeddings/oleObject98.bin"/><Relationship Id="rId38" Type="http://schemas.openxmlformats.org/officeDocument/2006/relationships/image" Target="../media/image18.emf"/><Relationship Id="rId59" Type="http://schemas.openxmlformats.org/officeDocument/2006/relationships/oleObject" Target="../embeddings/oleObject112.bin"/><Relationship Id="rId103" Type="http://schemas.openxmlformats.org/officeDocument/2006/relationships/oleObject" Target="../embeddings/oleObject136.bin"/><Relationship Id="rId108" Type="http://schemas.openxmlformats.org/officeDocument/2006/relationships/oleObject" Target="../embeddings/oleObject141.bin"/><Relationship Id="rId124" Type="http://schemas.openxmlformats.org/officeDocument/2006/relationships/oleObject" Target="../embeddings/oleObject154.bin"/><Relationship Id="rId129" Type="http://schemas.openxmlformats.org/officeDocument/2006/relationships/oleObject" Target="../embeddings/oleObject159.bin"/><Relationship Id="rId54" Type="http://schemas.openxmlformats.org/officeDocument/2006/relationships/image" Target="../media/image26.emf"/><Relationship Id="rId70" Type="http://schemas.openxmlformats.org/officeDocument/2006/relationships/image" Target="../media/image34.emf"/><Relationship Id="rId75" Type="http://schemas.openxmlformats.org/officeDocument/2006/relationships/oleObject" Target="../embeddings/oleObject121.bin"/><Relationship Id="rId91" Type="http://schemas.openxmlformats.org/officeDocument/2006/relationships/oleObject" Target="../embeddings/oleObject130.bin"/><Relationship Id="rId96" Type="http://schemas.openxmlformats.org/officeDocument/2006/relationships/image" Target="../media/image38.emf"/><Relationship Id="rId140" Type="http://schemas.openxmlformats.org/officeDocument/2006/relationships/oleObject" Target="../embeddings/oleObject170.bin"/><Relationship Id="rId145" Type="http://schemas.openxmlformats.org/officeDocument/2006/relationships/oleObject" Target="../embeddings/oleObject175.bin"/><Relationship Id="rId1" Type="http://schemas.openxmlformats.org/officeDocument/2006/relationships/printerSettings" Target="../printerSettings/printerSettings6.bin"/><Relationship Id="rId6" Type="http://schemas.openxmlformats.org/officeDocument/2006/relationships/image" Target="../media/image56.emf"/><Relationship Id="rId23" Type="http://schemas.openxmlformats.org/officeDocument/2006/relationships/oleObject" Target="../embeddings/oleObject93.bin"/><Relationship Id="rId28" Type="http://schemas.openxmlformats.org/officeDocument/2006/relationships/image" Target="../media/image13.emf"/><Relationship Id="rId49" Type="http://schemas.openxmlformats.org/officeDocument/2006/relationships/image" Target="../media/image24.emf"/><Relationship Id="rId114" Type="http://schemas.openxmlformats.org/officeDocument/2006/relationships/oleObject" Target="../embeddings/oleObject145.bin"/><Relationship Id="rId119" Type="http://schemas.openxmlformats.org/officeDocument/2006/relationships/oleObject" Target="../embeddings/oleObject149.bin"/><Relationship Id="rId44" Type="http://schemas.openxmlformats.org/officeDocument/2006/relationships/image" Target="../media/image21.emf"/><Relationship Id="rId60" Type="http://schemas.openxmlformats.org/officeDocument/2006/relationships/image" Target="../media/image30.emf"/><Relationship Id="rId65" Type="http://schemas.openxmlformats.org/officeDocument/2006/relationships/oleObject" Target="../embeddings/oleObject115.bin"/><Relationship Id="rId81" Type="http://schemas.openxmlformats.org/officeDocument/2006/relationships/image" Target="../media/image63.emf"/><Relationship Id="rId86" Type="http://schemas.openxmlformats.org/officeDocument/2006/relationships/image" Target="../media/image65.emf"/><Relationship Id="rId130" Type="http://schemas.openxmlformats.org/officeDocument/2006/relationships/oleObject" Target="../embeddings/oleObject160.bin"/><Relationship Id="rId135" Type="http://schemas.openxmlformats.org/officeDocument/2006/relationships/oleObject" Target="../embeddings/oleObject165.bin"/><Relationship Id="rId151" Type="http://schemas.openxmlformats.org/officeDocument/2006/relationships/oleObject" Target="../embeddings/oleObject179.bin"/><Relationship Id="rId13" Type="http://schemas.openxmlformats.org/officeDocument/2006/relationships/oleObject" Target="../embeddings/oleObject88.bin"/><Relationship Id="rId18" Type="http://schemas.openxmlformats.org/officeDocument/2006/relationships/image" Target="../media/image43.emf"/><Relationship Id="rId39" Type="http://schemas.openxmlformats.org/officeDocument/2006/relationships/oleObject" Target="../embeddings/oleObject101.bin"/><Relationship Id="rId109" Type="http://schemas.openxmlformats.org/officeDocument/2006/relationships/image" Target="../media/image42.emf"/><Relationship Id="rId34" Type="http://schemas.openxmlformats.org/officeDocument/2006/relationships/image" Target="../media/image16.emf"/><Relationship Id="rId50" Type="http://schemas.openxmlformats.org/officeDocument/2006/relationships/oleObject" Target="../embeddings/oleObject107.bin"/><Relationship Id="rId55" Type="http://schemas.openxmlformats.org/officeDocument/2006/relationships/oleObject" Target="../embeddings/oleObject110.bin"/><Relationship Id="rId76" Type="http://schemas.openxmlformats.org/officeDocument/2006/relationships/oleObject" Target="../embeddings/oleObject122.bin"/><Relationship Id="rId97" Type="http://schemas.openxmlformats.org/officeDocument/2006/relationships/oleObject" Target="../embeddings/oleObject133.bin"/><Relationship Id="rId104" Type="http://schemas.openxmlformats.org/officeDocument/2006/relationships/oleObject" Target="../embeddings/oleObject137.bin"/><Relationship Id="rId120" Type="http://schemas.openxmlformats.org/officeDocument/2006/relationships/oleObject" Target="../embeddings/oleObject150.bin"/><Relationship Id="rId125" Type="http://schemas.openxmlformats.org/officeDocument/2006/relationships/oleObject" Target="../embeddings/oleObject155.bin"/><Relationship Id="rId141" Type="http://schemas.openxmlformats.org/officeDocument/2006/relationships/oleObject" Target="../embeddings/oleObject171.bin"/><Relationship Id="rId146" Type="http://schemas.openxmlformats.org/officeDocument/2006/relationships/oleObject" Target="../embeddings/oleObject176.bin"/><Relationship Id="rId7" Type="http://schemas.openxmlformats.org/officeDocument/2006/relationships/oleObject" Target="../embeddings/oleObject85.bin"/><Relationship Id="rId71" Type="http://schemas.openxmlformats.org/officeDocument/2006/relationships/oleObject" Target="../embeddings/oleObject119.bin"/><Relationship Id="rId92" Type="http://schemas.openxmlformats.org/officeDocument/2006/relationships/image" Target="../media/image36.emf"/><Relationship Id="rId2" Type="http://schemas.openxmlformats.org/officeDocument/2006/relationships/drawing" Target="../drawings/drawing5.xml"/><Relationship Id="rId29" Type="http://schemas.openxmlformats.org/officeDocument/2006/relationships/oleObject" Target="../embeddings/oleObject96.bin"/><Relationship Id="rId24" Type="http://schemas.openxmlformats.org/officeDocument/2006/relationships/image" Target="../media/image11.emf"/><Relationship Id="rId40" Type="http://schemas.openxmlformats.org/officeDocument/2006/relationships/image" Target="../media/image19.emf"/><Relationship Id="rId45" Type="http://schemas.openxmlformats.org/officeDocument/2006/relationships/oleObject" Target="../embeddings/oleObject104.bin"/><Relationship Id="rId66" Type="http://schemas.openxmlformats.org/officeDocument/2006/relationships/image" Target="../media/image33.emf"/><Relationship Id="rId87" Type="http://schemas.openxmlformats.org/officeDocument/2006/relationships/oleObject" Target="../embeddings/oleObject128.bin"/><Relationship Id="rId110" Type="http://schemas.openxmlformats.org/officeDocument/2006/relationships/oleObject" Target="../embeddings/oleObject142.bin"/><Relationship Id="rId115" Type="http://schemas.openxmlformats.org/officeDocument/2006/relationships/oleObject" Target="../embeddings/oleObject146.bin"/><Relationship Id="rId131" Type="http://schemas.openxmlformats.org/officeDocument/2006/relationships/oleObject" Target="../embeddings/oleObject161.bin"/><Relationship Id="rId136" Type="http://schemas.openxmlformats.org/officeDocument/2006/relationships/oleObject" Target="../embeddings/oleObject166.bin"/><Relationship Id="rId61" Type="http://schemas.openxmlformats.org/officeDocument/2006/relationships/oleObject" Target="../embeddings/oleObject113.bin"/><Relationship Id="rId82" Type="http://schemas.openxmlformats.org/officeDocument/2006/relationships/oleObject" Target="../embeddings/oleObject125.bin"/><Relationship Id="rId152" Type="http://schemas.openxmlformats.org/officeDocument/2006/relationships/comments" Target="../comments2.xml"/><Relationship Id="rId19" Type="http://schemas.openxmlformats.org/officeDocument/2006/relationships/oleObject" Target="../embeddings/oleObject91.bin"/><Relationship Id="rId14" Type="http://schemas.openxmlformats.org/officeDocument/2006/relationships/image" Target="../media/image23.emf"/><Relationship Id="rId30" Type="http://schemas.openxmlformats.org/officeDocument/2006/relationships/image" Target="../media/image14.emf"/><Relationship Id="rId35" Type="http://schemas.openxmlformats.org/officeDocument/2006/relationships/oleObject" Target="../embeddings/oleObject99.bin"/><Relationship Id="rId56" Type="http://schemas.openxmlformats.org/officeDocument/2006/relationships/image" Target="../media/image27.emf"/><Relationship Id="rId77" Type="http://schemas.openxmlformats.org/officeDocument/2006/relationships/image" Target="../media/image61.emf"/><Relationship Id="rId100" Type="http://schemas.openxmlformats.org/officeDocument/2006/relationships/image" Target="../media/image40.emf"/><Relationship Id="rId105" Type="http://schemas.openxmlformats.org/officeDocument/2006/relationships/oleObject" Target="../embeddings/oleObject138.bin"/><Relationship Id="rId126" Type="http://schemas.openxmlformats.org/officeDocument/2006/relationships/oleObject" Target="../embeddings/oleObject156.bin"/><Relationship Id="rId147" Type="http://schemas.openxmlformats.org/officeDocument/2006/relationships/oleObject" Target="../embeddings/oleObject177.bin"/><Relationship Id="rId8" Type="http://schemas.openxmlformats.org/officeDocument/2006/relationships/image" Target="../media/image57.emf"/><Relationship Id="rId51" Type="http://schemas.openxmlformats.org/officeDocument/2006/relationships/oleObject" Target="../embeddings/oleObject108.bin"/><Relationship Id="rId72" Type="http://schemas.openxmlformats.org/officeDocument/2006/relationships/image" Target="../media/image35.emf"/><Relationship Id="rId93" Type="http://schemas.openxmlformats.org/officeDocument/2006/relationships/oleObject" Target="../embeddings/oleObject131.bin"/><Relationship Id="rId98" Type="http://schemas.openxmlformats.org/officeDocument/2006/relationships/image" Target="../media/image39.emf"/><Relationship Id="rId121" Type="http://schemas.openxmlformats.org/officeDocument/2006/relationships/oleObject" Target="../embeddings/oleObject151.bin"/><Relationship Id="rId142" Type="http://schemas.openxmlformats.org/officeDocument/2006/relationships/oleObject" Target="../embeddings/oleObject172.bin"/><Relationship Id="rId3" Type="http://schemas.openxmlformats.org/officeDocument/2006/relationships/vmlDrawing" Target="../drawings/vmlDrawing5.vml"/><Relationship Id="rId25" Type="http://schemas.openxmlformats.org/officeDocument/2006/relationships/oleObject" Target="../embeddings/oleObject94.bin"/><Relationship Id="rId46" Type="http://schemas.openxmlformats.org/officeDocument/2006/relationships/image" Target="../media/image22.emf"/><Relationship Id="rId67" Type="http://schemas.openxmlformats.org/officeDocument/2006/relationships/oleObject" Target="../embeddings/oleObject116.bin"/><Relationship Id="rId116" Type="http://schemas.openxmlformats.org/officeDocument/2006/relationships/image" Target="../media/image44.emf"/><Relationship Id="rId137" Type="http://schemas.openxmlformats.org/officeDocument/2006/relationships/oleObject" Target="../embeddings/oleObject167.bin"/><Relationship Id="rId20" Type="http://schemas.openxmlformats.org/officeDocument/2006/relationships/image" Target="../media/image9.emf"/><Relationship Id="rId41" Type="http://schemas.openxmlformats.org/officeDocument/2006/relationships/oleObject" Target="../embeddings/oleObject102.bin"/><Relationship Id="rId62" Type="http://schemas.openxmlformats.org/officeDocument/2006/relationships/image" Target="../media/image31.emf"/><Relationship Id="rId83" Type="http://schemas.openxmlformats.org/officeDocument/2006/relationships/oleObject" Target="../embeddings/oleObject126.bin"/><Relationship Id="rId88" Type="http://schemas.openxmlformats.org/officeDocument/2006/relationships/image" Target="../media/image66.emf"/><Relationship Id="rId111" Type="http://schemas.openxmlformats.org/officeDocument/2006/relationships/oleObject" Target="../embeddings/oleObject143.bin"/><Relationship Id="rId132" Type="http://schemas.openxmlformats.org/officeDocument/2006/relationships/oleObject" Target="../embeddings/oleObject162.bin"/><Relationship Id="rId153" Type="http://schemas.microsoft.com/office/2017/10/relationships/threadedComment" Target="../threadedComments/threadedComment2.xml"/><Relationship Id="rId15" Type="http://schemas.openxmlformats.org/officeDocument/2006/relationships/oleObject" Target="../embeddings/oleObject89.bin"/><Relationship Id="rId36" Type="http://schemas.openxmlformats.org/officeDocument/2006/relationships/image" Target="../media/image17.emf"/><Relationship Id="rId57" Type="http://schemas.openxmlformats.org/officeDocument/2006/relationships/oleObject" Target="../embeddings/oleObject111.bin"/><Relationship Id="rId106" Type="http://schemas.openxmlformats.org/officeDocument/2006/relationships/oleObject" Target="../embeddings/oleObject139.bin"/><Relationship Id="rId127" Type="http://schemas.openxmlformats.org/officeDocument/2006/relationships/oleObject" Target="../embeddings/oleObject157.bin"/><Relationship Id="rId10" Type="http://schemas.openxmlformats.org/officeDocument/2006/relationships/image" Target="../media/image58.emf"/><Relationship Id="rId31" Type="http://schemas.openxmlformats.org/officeDocument/2006/relationships/oleObject" Target="../embeddings/oleObject97.bin"/><Relationship Id="rId52" Type="http://schemas.openxmlformats.org/officeDocument/2006/relationships/image" Target="../media/image25.emf"/><Relationship Id="rId73" Type="http://schemas.openxmlformats.org/officeDocument/2006/relationships/oleObject" Target="../embeddings/oleObject120.bin"/><Relationship Id="rId78" Type="http://schemas.openxmlformats.org/officeDocument/2006/relationships/oleObject" Target="../embeddings/oleObject123.bin"/><Relationship Id="rId94" Type="http://schemas.openxmlformats.org/officeDocument/2006/relationships/image" Target="../media/image37.emf"/><Relationship Id="rId99" Type="http://schemas.openxmlformats.org/officeDocument/2006/relationships/oleObject" Target="../embeddings/oleObject134.bin"/><Relationship Id="rId101" Type="http://schemas.openxmlformats.org/officeDocument/2006/relationships/oleObject" Target="../embeddings/oleObject135.bin"/><Relationship Id="rId122" Type="http://schemas.openxmlformats.org/officeDocument/2006/relationships/oleObject" Target="../embeddings/oleObject152.bin"/><Relationship Id="rId143" Type="http://schemas.openxmlformats.org/officeDocument/2006/relationships/oleObject" Target="../embeddings/oleObject173.bin"/><Relationship Id="rId148" Type="http://schemas.openxmlformats.org/officeDocument/2006/relationships/image" Target="../media/image48.emf"/><Relationship Id="rId4" Type="http://schemas.openxmlformats.org/officeDocument/2006/relationships/vmlDrawing" Target="../drawings/vmlDrawing6.vml"/><Relationship Id="rId9" Type="http://schemas.openxmlformats.org/officeDocument/2006/relationships/oleObject" Target="../embeddings/oleObject86.bin"/><Relationship Id="rId26" Type="http://schemas.openxmlformats.org/officeDocument/2006/relationships/image" Target="../media/image12.emf"/><Relationship Id="rId47" Type="http://schemas.openxmlformats.org/officeDocument/2006/relationships/oleObject" Target="../embeddings/oleObject105.bin"/><Relationship Id="rId68" Type="http://schemas.openxmlformats.org/officeDocument/2006/relationships/oleObject" Target="../embeddings/oleObject117.bin"/><Relationship Id="rId89" Type="http://schemas.openxmlformats.org/officeDocument/2006/relationships/oleObject" Target="../embeddings/oleObject129.bin"/><Relationship Id="rId112" Type="http://schemas.openxmlformats.org/officeDocument/2006/relationships/oleObject" Target="../embeddings/oleObject144.bin"/><Relationship Id="rId133" Type="http://schemas.openxmlformats.org/officeDocument/2006/relationships/oleObject" Target="../embeddings/oleObject163.bin"/><Relationship Id="rId16" Type="http://schemas.openxmlformats.org/officeDocument/2006/relationships/image" Target="../media/image60.emf"/><Relationship Id="rId37" Type="http://schemas.openxmlformats.org/officeDocument/2006/relationships/oleObject" Target="../embeddings/oleObject100.bin"/><Relationship Id="rId58" Type="http://schemas.openxmlformats.org/officeDocument/2006/relationships/image" Target="../media/image29.emf"/><Relationship Id="rId79" Type="http://schemas.openxmlformats.org/officeDocument/2006/relationships/image" Target="../media/image62.emf"/><Relationship Id="rId102" Type="http://schemas.openxmlformats.org/officeDocument/2006/relationships/image" Target="../media/image41.emf"/><Relationship Id="rId123" Type="http://schemas.openxmlformats.org/officeDocument/2006/relationships/oleObject" Target="../embeddings/oleObject153.bin"/><Relationship Id="rId144" Type="http://schemas.openxmlformats.org/officeDocument/2006/relationships/oleObject" Target="../embeddings/oleObject174.bin"/><Relationship Id="rId90" Type="http://schemas.openxmlformats.org/officeDocument/2006/relationships/image" Target="../media/image46.emf"/></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A838B-26C9-413A-AEA5-74CC36848BDE}">
  <sheetPr codeName="sh0Conditions">
    <tabColor theme="1"/>
    <pageSetUpPr fitToPage="1"/>
  </sheetPr>
  <dimension ref="A1:K68"/>
  <sheetViews>
    <sheetView showGridLines="0" showRowColHeaders="0" tabSelected="1" zoomScale="115" zoomScaleNormal="115" zoomScaleSheetLayoutView="80" workbookViewId="0">
      <selection activeCell="E3" sqref="E3:E4"/>
    </sheetView>
  </sheetViews>
  <sheetFormatPr defaultColWidth="0" defaultRowHeight="12.75" customHeight="1" zeroHeight="1" x14ac:dyDescent="0.25"/>
  <cols>
    <col min="1" max="2" width="6.42578125" customWidth="1"/>
    <col min="3" max="3" width="21.28515625" customWidth="1"/>
    <col min="4" max="4" width="89.85546875" customWidth="1"/>
    <col min="5" max="5" width="21.28515625" customWidth="1"/>
    <col min="6" max="6" width="6.42578125" customWidth="1"/>
    <col min="7" max="11" width="10.28515625" hidden="1" customWidth="1"/>
    <col min="12" max="16384" width="10.28515625" hidden="1"/>
  </cols>
  <sheetData>
    <row r="1" spans="1:11" ht="15" x14ac:dyDescent="0.25">
      <c r="A1" s="211"/>
      <c r="B1" s="211"/>
      <c r="C1" s="211"/>
      <c r="D1" s="211"/>
      <c r="E1" s="211"/>
      <c r="F1" s="211"/>
    </row>
    <row r="2" spans="1:11" ht="12.95" customHeight="1" x14ac:dyDescent="0.25">
      <c r="A2" s="211"/>
      <c r="B2" s="211"/>
      <c r="C2" s="211"/>
      <c r="D2" s="308" t="s">
        <v>692</v>
      </c>
      <c r="E2" s="212" t="str">
        <f>INDEX(LEN_CON[],1,MATCH($E$3,LEN_CON[#Headers],0))</f>
        <v>Language</v>
      </c>
      <c r="F2" s="211"/>
    </row>
    <row r="3" spans="1:11" ht="15" x14ac:dyDescent="0.25">
      <c r="A3" s="211"/>
      <c r="B3" s="211"/>
      <c r="C3" s="211"/>
      <c r="D3" s="308"/>
      <c r="E3" s="309" t="s">
        <v>444</v>
      </c>
      <c r="F3" s="211"/>
    </row>
    <row r="4" spans="1:11" ht="15" x14ac:dyDescent="0.25">
      <c r="A4" s="211"/>
      <c r="B4" s="211"/>
      <c r="C4" s="211"/>
      <c r="D4" s="308"/>
      <c r="E4" s="309"/>
      <c r="F4" s="211"/>
    </row>
    <row r="5" spans="1:11" ht="15" x14ac:dyDescent="0.25">
      <c r="A5" s="211"/>
      <c r="B5" s="211"/>
      <c r="C5" s="211"/>
      <c r="D5" s="211"/>
      <c r="E5" s="211"/>
      <c r="F5" s="211"/>
    </row>
    <row r="6" spans="1:11" ht="16.5" x14ac:dyDescent="0.25">
      <c r="A6" s="211"/>
      <c r="B6" s="211"/>
      <c r="C6" s="211"/>
      <c r="D6" s="213" t="str">
        <f>INDEX(LEN_CON[],2,MATCH($E$3,LEN_CON[#Headers],0))</f>
        <v>SHARP METAL CALCULATOR</v>
      </c>
      <c r="E6" s="211"/>
      <c r="F6" s="211"/>
    </row>
    <row r="7" spans="1:11" ht="12.75" customHeight="1" x14ac:dyDescent="0.25">
      <c r="A7" s="211"/>
      <c r="B7" s="211"/>
      <c r="C7" s="310" t="str">
        <f>INDEX(LEN_CON[],3,MATCH($E$3,LEN_CON[#Headers],0))</f>
        <v>GENERAL TERMS AND CONDITIONS OF THE LICENSE AGREEMENT FOR THE USE OF THE SPREADSHEET "SHARP_METAL_CALCULATOR"</v>
      </c>
      <c r="D7" s="310"/>
      <c r="E7" s="310"/>
      <c r="F7" s="211"/>
    </row>
    <row r="8" spans="1:11" ht="18" customHeight="1" x14ac:dyDescent="0.25">
      <c r="A8" s="211"/>
      <c r="B8" s="211"/>
      <c r="C8" s="310"/>
      <c r="D8" s="310"/>
      <c r="E8" s="310"/>
      <c r="F8" s="211"/>
    </row>
    <row r="9" spans="1:11" ht="18" customHeight="1" x14ac:dyDescent="0.25">
      <c r="A9" s="211"/>
      <c r="B9" s="211"/>
      <c r="C9" s="310"/>
      <c r="D9" s="310"/>
      <c r="E9" s="310"/>
      <c r="F9" s="211"/>
    </row>
    <row r="10" spans="1:11" ht="15" x14ac:dyDescent="0.25">
      <c r="A10" s="211"/>
      <c r="B10" s="211"/>
      <c r="C10" s="211"/>
      <c r="D10" s="211"/>
      <c r="E10" s="211"/>
      <c r="F10" s="211"/>
    </row>
    <row r="11" spans="1:11" ht="15" x14ac:dyDescent="0.25"/>
    <row r="12" spans="1:11" ht="264" customHeight="1" x14ac:dyDescent="0.25">
      <c r="B12" s="311" t="e" vm="1">
        <v>#VALUE!</v>
      </c>
      <c r="C12" s="311"/>
      <c r="D12" s="311"/>
      <c r="E12" s="311"/>
    </row>
    <row r="13" spans="1:11" ht="15" x14ac:dyDescent="0.25"/>
    <row r="14" spans="1:11" ht="15" x14ac:dyDescent="0.25">
      <c r="B14" s="214" t="str">
        <f>INDEX(LEN_CON[],4,MATCH($E$3,LEN_CON[#Headers],0))</f>
        <v>1. SUBJECT</v>
      </c>
    </row>
    <row r="15" spans="1:11" ht="15" x14ac:dyDescent="0.25">
      <c r="C15" s="215"/>
      <c r="D15" s="215"/>
      <c r="E15" s="215"/>
    </row>
    <row r="16" spans="1:11" ht="200.1" customHeight="1" x14ac:dyDescent="0.25">
      <c r="C16" s="312" t="str">
        <f>INDEX(LEN_CON[],5,MATCH($E$3,LEN_CON[#Headers],0))</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6" s="312"/>
      <c r="E16" s="312"/>
      <c r="K16" s="115"/>
    </row>
    <row r="17" spans="2:9" ht="15" x14ac:dyDescent="0.25">
      <c r="C17" s="125"/>
      <c r="D17" s="215"/>
      <c r="E17" s="215"/>
    </row>
    <row r="18" spans="2:9" ht="15" x14ac:dyDescent="0.25">
      <c r="B18" s="214" t="str">
        <f>INDEX(LEN_CON[],6,MATCH($E$3,LEN_CON[#Headers],0))</f>
        <v>2. TECHNICAL-STANDARDS REFERENCES</v>
      </c>
      <c r="C18" s="125"/>
      <c r="D18" s="215"/>
      <c r="E18" s="215"/>
    </row>
    <row r="19" spans="2:9" ht="15" x14ac:dyDescent="0.25">
      <c r="C19" s="125"/>
      <c r="D19" s="215"/>
      <c r="E19" s="215"/>
    </row>
    <row r="20" spans="2:9" ht="45.75" customHeight="1" x14ac:dyDescent="0.25">
      <c r="B20" s="216"/>
      <c r="C20" s="307" t="str">
        <f>INDEX(LEN_CON[],7,MATCH($E$3,LEN_CON[#Headers],0))</f>
        <v>RB carried out the checks according to the Limit State method in accordance with EN 1995-1-1 Eurocode 5 - Design of timber structures and EN 1999-1-1 Eurocode 9 - Design of aluminium structures. For the mechanical resistance values and the geometry of the connectors, reference was made to ETA-23/0824.</v>
      </c>
      <c r="D20" s="307"/>
      <c r="E20" s="307"/>
      <c r="I20" s="217"/>
    </row>
    <row r="21" spans="2:9" ht="15" x14ac:dyDescent="0.25">
      <c r="C21" s="115"/>
      <c r="D21" s="215"/>
      <c r="E21" s="215"/>
    </row>
    <row r="22" spans="2:9" ht="15" x14ac:dyDescent="0.25">
      <c r="B22" s="214" t="str">
        <f>INDEX(LEN_CON[],8,MATCH($E$3,LEN_CON[#Headers],0))</f>
        <v>3. RB RIGHTS AND OBLIGATIONS</v>
      </c>
      <c r="C22" s="125"/>
      <c r="D22" s="215"/>
      <c r="E22" s="215"/>
    </row>
    <row r="23" spans="2:9" ht="15" x14ac:dyDescent="0.25">
      <c r="C23" s="125"/>
      <c r="D23" s="215"/>
      <c r="E23" s="215"/>
    </row>
    <row r="24" spans="2:9" ht="160.5" customHeight="1" x14ac:dyDescent="0.25">
      <c r="C24" s="312" t="str">
        <f>INDEX(LEN_CON[],9,MATCH($E$3,LEN_CON[#Headers],0))</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4" s="312"/>
      <c r="E24" s="312"/>
    </row>
    <row r="25" spans="2:9" ht="21.75" customHeight="1" x14ac:dyDescent="0.25">
      <c r="C25" s="115"/>
      <c r="D25" s="215"/>
      <c r="E25" s="215"/>
    </row>
    <row r="26" spans="2:9" ht="45" customHeight="1" x14ac:dyDescent="0.25">
      <c r="C26" s="115"/>
      <c r="D26" s="215"/>
      <c r="E26" s="215"/>
    </row>
    <row r="27" spans="2:9" ht="15" x14ac:dyDescent="0.25">
      <c r="B27" s="214" t="str">
        <f>INDEX(LEN_CON[],10,MATCH($E$3,LEN_CON[#Headers],0))</f>
        <v>4. USER RIGHTS AND OBLIGATIONS</v>
      </c>
      <c r="C27" s="215"/>
      <c r="D27" s="215"/>
      <c r="E27" s="215"/>
    </row>
    <row r="28" spans="2:9" ht="15" x14ac:dyDescent="0.25">
      <c r="C28" s="115"/>
      <c r="D28" s="215"/>
      <c r="E28" s="215"/>
    </row>
    <row r="29" spans="2:9" ht="315" customHeight="1" x14ac:dyDescent="0.25">
      <c r="C29" s="312" t="str">
        <f>INDEX(LEN_CON[],11,MATCH($E$3,LEN_CON[#Headers],0))</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9" s="312"/>
      <c r="E29" s="312"/>
    </row>
    <row r="30" spans="2:9" ht="15" x14ac:dyDescent="0.25">
      <c r="C30" s="115"/>
      <c r="D30" s="215"/>
      <c r="E30" s="215"/>
    </row>
    <row r="31" spans="2:9" ht="15" x14ac:dyDescent="0.25">
      <c r="B31" s="214" t="str">
        <f>INDEX(LEN_CON[],12,MATCH($E$3,LEN_CON[#Headers],0))</f>
        <v>5. COPYRIGHTS</v>
      </c>
      <c r="C31" s="215"/>
      <c r="D31" s="215"/>
      <c r="E31" s="215"/>
    </row>
    <row r="32" spans="2:9" ht="15" x14ac:dyDescent="0.25">
      <c r="C32" s="115"/>
      <c r="D32" s="215"/>
      <c r="E32" s="215"/>
    </row>
    <row r="33" spans="2:5" ht="77.25" customHeight="1" x14ac:dyDescent="0.25">
      <c r="C33" s="312" t="str">
        <f>INDEX(LEN_CON[],13,MATCH($E$3,LEN_CON[#Headers],0))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3" s="312"/>
      <c r="E33" s="312"/>
    </row>
    <row r="34" spans="2:5" ht="15" x14ac:dyDescent="0.25">
      <c r="C34" s="115"/>
      <c r="D34" s="215"/>
      <c r="E34" s="215"/>
    </row>
    <row r="35" spans="2:5" ht="15" x14ac:dyDescent="0.25">
      <c r="B35" s="214" t="str">
        <f>INDEX(LEN_CON[],14,MATCH($E$3,LEN_CON[#Headers],0))</f>
        <v>6. DURATION, WITHDRAWAL AND TERMINATION</v>
      </c>
      <c r="C35" s="215"/>
      <c r="D35" s="215"/>
      <c r="E35" s="215"/>
    </row>
    <row r="36" spans="2:5" ht="15" x14ac:dyDescent="0.25">
      <c r="C36" s="115"/>
      <c r="D36" s="215"/>
      <c r="E36" s="215"/>
    </row>
    <row r="37" spans="2:5" ht="102" customHeight="1" x14ac:dyDescent="0.25">
      <c r="C37" s="312" t="str">
        <f>INDEX(LEN_CON[],15,MATCH($E$3,LEN_CON[#Headers],0))</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7" s="312"/>
      <c r="E37" s="312"/>
    </row>
    <row r="38" spans="2:5" ht="15" x14ac:dyDescent="0.25">
      <c r="C38" s="115"/>
      <c r="D38" s="215"/>
      <c r="E38" s="215"/>
    </row>
    <row r="39" spans="2:5" ht="15" x14ac:dyDescent="0.25">
      <c r="B39" s="214" t="str">
        <f>INDEX(LEN_CON[],16,MATCH($E$3,LEN_CON[#Headers],0))</f>
        <v>7. RESPONSIBILITY</v>
      </c>
      <c r="C39" s="215"/>
      <c r="D39" s="215"/>
      <c r="E39" s="215"/>
    </row>
    <row r="40" spans="2:5" ht="15" x14ac:dyDescent="0.25">
      <c r="C40" s="115"/>
      <c r="D40" s="215"/>
      <c r="E40" s="215"/>
    </row>
    <row r="41" spans="2:5" ht="280.5" customHeight="1" x14ac:dyDescent="0.25">
      <c r="C41" s="312" t="str">
        <f>INDEX(LEN_CON[],17,MATCH($E$3,LEN_CON[#Headers],0))</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41" s="312"/>
      <c r="E41" s="312"/>
    </row>
    <row r="42" spans="2:5" ht="15" x14ac:dyDescent="0.25">
      <c r="C42" s="115"/>
      <c r="D42" s="215"/>
      <c r="E42" s="215"/>
    </row>
    <row r="43" spans="2:5" ht="15" x14ac:dyDescent="0.25">
      <c r="B43" s="214" t="str">
        <f>INDEX(LEN_CON[],18,MATCH($E$3,LEN_CON[#Headers],0))</f>
        <v>8. REFUND</v>
      </c>
      <c r="C43" s="215"/>
      <c r="D43" s="215"/>
      <c r="E43" s="215"/>
    </row>
    <row r="44" spans="2:5" ht="15" x14ac:dyDescent="0.25">
      <c r="C44" s="115"/>
      <c r="D44" s="215"/>
      <c r="E44" s="215"/>
    </row>
    <row r="45" spans="2:5" ht="58.5" customHeight="1" x14ac:dyDescent="0.25">
      <c r="C45" s="312" t="str">
        <f>INDEX(LEN_CON[],19,MATCH($E$3,LEN_CON[#Headers],0))</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5" s="312"/>
      <c r="E45" s="312"/>
    </row>
    <row r="46" spans="2:5" ht="15" x14ac:dyDescent="0.25">
      <c r="C46" s="115"/>
      <c r="D46" s="215"/>
      <c r="E46" s="215"/>
    </row>
    <row r="47" spans="2:5" ht="15" x14ac:dyDescent="0.25">
      <c r="B47" s="214" t="str">
        <f>INDEX(LEN_CON[],20,MATCH($E$3,LEN_CON[#Headers],0))</f>
        <v>9. MISCELLANEOUS</v>
      </c>
      <c r="C47" s="215"/>
      <c r="D47" s="215"/>
      <c r="E47" s="215"/>
    </row>
    <row r="48" spans="2:5" ht="15" x14ac:dyDescent="0.25">
      <c r="C48" s="115"/>
      <c r="D48" s="215"/>
      <c r="E48" s="215"/>
    </row>
    <row r="49" spans="2:10" ht="58.5" customHeight="1" x14ac:dyDescent="0.25">
      <c r="C49" s="312" t="str">
        <f>INDEX(LEN_CON[],21,MATCH($E$3,LEN_CON[#Headers],0))</f>
        <v>These general conditions constitute the entire agreement between RB and the user regarding the subject matter and replace all previous, oral or written agreements, as well as any agreements between RB and the user.</v>
      </c>
      <c r="D49" s="312"/>
      <c r="E49" s="312"/>
    </row>
    <row r="50" spans="2:10" ht="22.5" customHeight="1" x14ac:dyDescent="0.25">
      <c r="C50" s="115"/>
      <c r="D50" s="115"/>
      <c r="E50" s="115"/>
    </row>
    <row r="51" spans="2:10" ht="45" customHeight="1" x14ac:dyDescent="0.25">
      <c r="C51" s="115"/>
      <c r="D51" s="215"/>
      <c r="E51" s="215"/>
    </row>
    <row r="52" spans="2:10" ht="15" x14ac:dyDescent="0.25">
      <c r="B52" s="214" t="str">
        <f>INDEX(LEN_CON[],22,MATCH($E$3,LEN_CON[#Headers],0))</f>
        <v>10. LANGUAGE</v>
      </c>
      <c r="C52" s="215"/>
      <c r="D52" s="215"/>
      <c r="E52" s="215"/>
    </row>
    <row r="53" spans="2:10" ht="15" x14ac:dyDescent="0.25">
      <c r="C53" s="115"/>
      <c r="D53" s="215"/>
      <c r="E53" s="215"/>
    </row>
    <row r="54" spans="2:10" ht="25.5" customHeight="1" x14ac:dyDescent="0.25">
      <c r="C54" s="312" t="str">
        <f>INDEX(LEN_CON[],23,MATCH($E$3,LEN_CON[#Headers],0))</f>
        <v>In the event of differences between versions of these conditions in the various languages, the English text is binding and takes precedence with respect to the translations.</v>
      </c>
      <c r="D54" s="312"/>
      <c r="E54" s="312"/>
    </row>
    <row r="55" spans="2:10" ht="28.5" customHeight="1" x14ac:dyDescent="0.25">
      <c r="C55" s="115"/>
      <c r="D55" s="215"/>
      <c r="E55" s="215"/>
    </row>
    <row r="56" spans="2:10" ht="15" x14ac:dyDescent="0.25">
      <c r="C56" s="115"/>
      <c r="D56" s="215"/>
      <c r="E56" s="215"/>
    </row>
    <row r="57" spans="2:10" ht="15" x14ac:dyDescent="0.25">
      <c r="B57" s="214" t="str">
        <f>INDEX(LEN_CON[],24,MATCH($E$3,LEN_CON[#Headers],0))</f>
        <v>11. APPLICABLE LAW AND COURT OF JURISDICTION</v>
      </c>
      <c r="C57" s="215"/>
      <c r="D57" s="215"/>
      <c r="E57" s="215"/>
      <c r="J57" s="210"/>
    </row>
    <row r="58" spans="2:10" ht="15" x14ac:dyDescent="0.25">
      <c r="C58" s="115"/>
      <c r="D58" s="215"/>
      <c r="E58" s="215"/>
    </row>
    <row r="59" spans="2:10" ht="12.75" customHeight="1" x14ac:dyDescent="0.25">
      <c r="C59" s="312" t="str">
        <f>INDEX(LEN_CON[],25,MATCH($E$3,LEN_CON[#Headers],0))</f>
        <v>This agreement and any relationship between the parties is governed exclusively by the Italian law. 
Any dispute that may arise between the parties in relation to this agreement, that cannot be resolved amicably, shall be brought before the court of Bolzano.</v>
      </c>
      <c r="D59" s="312"/>
      <c r="E59" s="312"/>
    </row>
    <row r="60" spans="2:10" ht="15" x14ac:dyDescent="0.25">
      <c r="C60" s="115"/>
      <c r="D60" s="215"/>
      <c r="E60" s="215"/>
    </row>
    <row r="61" spans="2:10" ht="15" x14ac:dyDescent="0.25">
      <c r="B61" s="214" t="str">
        <f>INDEX(LEN_CON[],26,MATCH($E$3,LEN_CON[#Headers],0))</f>
        <v>12. PRIVACY</v>
      </c>
      <c r="C61" s="215"/>
      <c r="D61" s="215"/>
      <c r="E61" s="215"/>
    </row>
    <row r="62" spans="2:10" ht="12.75" customHeight="1" x14ac:dyDescent="0.25">
      <c r="C62" s="115"/>
      <c r="D62" s="215"/>
      <c r="E62" s="215"/>
    </row>
    <row r="63" spans="2:10" ht="12.75" customHeight="1" x14ac:dyDescent="0.25">
      <c r="C63" s="312" t="str">
        <f>INDEX(LEN_CON[],27,MATCH($E$3,LEN_CON[#Headers],0))</f>
        <v>Refer to the privacy policy available at the link:</v>
      </c>
      <c r="D63" s="312"/>
      <c r="E63" s="312"/>
    </row>
    <row r="64" spans="2:10" ht="12.75" customHeight="1" x14ac:dyDescent="0.25">
      <c r="C64" s="314" t="s">
        <v>468</v>
      </c>
      <c r="D64" s="312"/>
      <c r="E64" s="312"/>
    </row>
    <row r="65" spans="1:6" ht="12.75" customHeight="1" x14ac:dyDescent="0.25"/>
    <row r="66" spans="1:6" ht="15" x14ac:dyDescent="0.25">
      <c r="A66" s="313" t="str">
        <f>INDEX(LEN_CON[],28,MATCH($E$3,LEN_CON[#Headers],0))</f>
        <v>ACCEPT</v>
      </c>
      <c r="B66" s="313"/>
      <c r="C66" s="313"/>
      <c r="D66" s="313"/>
      <c r="E66" s="313"/>
      <c r="F66" s="313"/>
    </row>
    <row r="67" spans="1:6" ht="15" x14ac:dyDescent="0.25">
      <c r="A67" s="313"/>
      <c r="B67" s="313"/>
      <c r="C67" s="313"/>
      <c r="D67" s="313"/>
      <c r="E67" s="313"/>
      <c r="F67" s="313"/>
    </row>
    <row r="68" spans="1:6" ht="15" x14ac:dyDescent="0.25">
      <c r="A68" s="313"/>
      <c r="B68" s="313"/>
      <c r="C68" s="313"/>
      <c r="D68" s="313"/>
      <c r="E68" s="313"/>
      <c r="F68" s="313"/>
    </row>
  </sheetData>
  <sheetProtection algorithmName="SHA-512" hashValue="mqU1VLvUPheH+TXvnrvN58jsHpdyEDqbkbYqaMzlJ3+nShmGHcHOGtQA5Kru5kO9Jt6P2ewQA3QNcrhF3R9jbA==" saltValue="046Ug2xonqGjQVqT7q5iOQ==" spinCount="100000" sheet="1" objects="1" scenarios="1" selectLockedCells="1"/>
  <mergeCells count="18">
    <mergeCell ref="A66:F68"/>
    <mergeCell ref="C24:E24"/>
    <mergeCell ref="C29:E29"/>
    <mergeCell ref="C33:E33"/>
    <mergeCell ref="C37:E37"/>
    <mergeCell ref="C41:E41"/>
    <mergeCell ref="C45:E45"/>
    <mergeCell ref="C49:E49"/>
    <mergeCell ref="C54:E54"/>
    <mergeCell ref="C59:E59"/>
    <mergeCell ref="C63:E63"/>
    <mergeCell ref="C64:E64"/>
    <mergeCell ref="C20:E20"/>
    <mergeCell ref="D2:D4"/>
    <mergeCell ref="E3:E4"/>
    <mergeCell ref="C7:E9"/>
    <mergeCell ref="B12:E12"/>
    <mergeCell ref="C16:E16"/>
  </mergeCells>
  <dataValidations count="1">
    <dataValidation type="list" allowBlank="1" showInputMessage="1" showErrorMessage="1" sqref="E3:E4" xr:uid="{67143C01-7810-420F-9FE2-5735EBFCFC96}">
      <formula1>"EN"</formula1>
    </dataValidation>
  </dataValidations>
  <hyperlinks>
    <hyperlink ref="C64" r:id="rId1" xr:uid="{253BBCC4-624E-4297-A1AF-84756FD9C52C}"/>
  </hyperlinks>
  <pageMargins left="0" right="0" top="0" bottom="0" header="0" footer="0"/>
  <pageSetup paperSize="9" scale="69" fitToHeight="0" orientation="portrait" r:id="rId2"/>
  <rowBreaks count="2" manualBreakCount="2">
    <brk id="25" max="5" man="1"/>
    <brk id="50"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621A-8084-4A77-B5C0-503CF69576C8}">
  <sheetPr codeName="shCLTpanels"/>
  <dimension ref="A1:U57"/>
  <sheetViews>
    <sheetView zoomScale="115" zoomScaleNormal="115" workbookViewId="0">
      <pane ySplit="3" topLeftCell="A4" activePane="bottomLeft" state="frozen"/>
      <selection activeCell="J3" sqref="J3"/>
      <selection pane="bottomLeft" activeCell="E5" sqref="E5"/>
    </sheetView>
  </sheetViews>
  <sheetFormatPr defaultColWidth="0" defaultRowHeight="12.75" zeroHeight="1" x14ac:dyDescent="0.2"/>
  <cols>
    <col min="1" max="1" width="2.42578125" style="73" customWidth="1"/>
    <col min="2" max="2" width="5.85546875" style="73" customWidth="1"/>
    <col min="3" max="3" width="17.42578125" style="73" customWidth="1"/>
    <col min="4" max="4" width="4.28515625" style="73" bestFit="1" customWidth="1"/>
    <col min="5" max="5" width="4.28515625" style="73" customWidth="1"/>
    <col min="6" max="6" width="10.5703125" style="73" customWidth="1"/>
    <col min="7" max="7" width="33.5703125" style="73" customWidth="1"/>
    <col min="8" max="16" width="9.140625" style="73" customWidth="1"/>
    <col min="17" max="17" width="3" style="73" customWidth="1"/>
    <col min="18" max="18" width="19.28515625" style="73" customWidth="1"/>
    <col min="19" max="21" width="10.7109375" style="73" hidden="1" customWidth="1"/>
    <col min="22" max="16384" width="9.140625" style="73" hidden="1"/>
  </cols>
  <sheetData>
    <row r="1" spans="2:18" ht="3.75" customHeight="1" x14ac:dyDescent="0.2"/>
    <row r="2" spans="2:18" ht="15.75" x14ac:dyDescent="0.25">
      <c r="B2" s="97" t="s">
        <v>336</v>
      </c>
    </row>
    <row r="3" spans="2:18" ht="15" x14ac:dyDescent="0.25">
      <c r="C3" t="s">
        <v>337</v>
      </c>
      <c r="D3" t="s">
        <v>338</v>
      </c>
      <c r="E3" t="s">
        <v>730</v>
      </c>
      <c r="F3" t="s">
        <v>1019</v>
      </c>
      <c r="G3" t="s">
        <v>731</v>
      </c>
      <c r="H3" t="s">
        <v>725</v>
      </c>
      <c r="I3" t="s">
        <v>726</v>
      </c>
      <c r="J3" t="s">
        <v>727</v>
      </c>
      <c r="K3" t="s">
        <v>728</v>
      </c>
      <c r="L3" t="s">
        <v>729</v>
      </c>
      <c r="M3" t="s">
        <v>735</v>
      </c>
      <c r="N3" t="s">
        <v>736</v>
      </c>
      <c r="O3" t="s">
        <v>737</v>
      </c>
      <c r="P3" t="s">
        <v>738</v>
      </c>
      <c r="Q3" s="99"/>
      <c r="R3" s="99"/>
    </row>
    <row r="4" spans="2:18" ht="15" x14ac:dyDescent="0.25">
      <c r="C4" t="s">
        <v>342</v>
      </c>
      <c r="D4">
        <f>SUM(CLT[[#This Row],[9]:[9'']])</f>
        <v>60</v>
      </c>
      <c r="E4" t="str">
        <f>LEFT(CLT[[#This Row],[Layers (code)]],1)</f>
        <v>3</v>
      </c>
      <c r="F4">
        <v>3</v>
      </c>
      <c r="G4" t="str">
        <f>_xlfn.CONCAT(D4, "mm-",F4,"s", "-",H4," ",I4," ",J4," ",K4," ",L4," ",M4," ",N4," ",O4," ",P4)</f>
        <v xml:space="preserve">60mm-3s-   20 20 20   </v>
      </c>
      <c r="H4"/>
      <c r="I4"/>
      <c r="J4"/>
      <c r="K4">
        <v>20</v>
      </c>
      <c r="L4">
        <v>20</v>
      </c>
      <c r="M4">
        <v>20</v>
      </c>
      <c r="N4"/>
      <c r="O4"/>
      <c r="P4"/>
    </row>
    <row r="5" spans="2:18" ht="15" x14ac:dyDescent="0.25">
      <c r="C5" t="s">
        <v>342</v>
      </c>
      <c r="D5">
        <f>SUM(CLT[[#This Row],[9]:[9'']])</f>
        <v>80</v>
      </c>
      <c r="E5" t="str">
        <f>LEFT(CLT[[#This Row],[Layers (code)]],1)</f>
        <v>3</v>
      </c>
      <c r="F5">
        <v>3</v>
      </c>
      <c r="G5" t="str">
        <f t="shared" ref="G5:G47" si="0">_xlfn.CONCAT(D5, "mm-",F5, "-",H5," ",I5," ",J5," ",K5," ",L5," ",M5," ",N5," ",O5," ",P5)</f>
        <v xml:space="preserve">80mm-3-   20 40 20   </v>
      </c>
      <c r="H5"/>
      <c r="I5"/>
      <c r="J5"/>
      <c r="K5">
        <v>20</v>
      </c>
      <c r="L5">
        <v>40</v>
      </c>
      <c r="M5">
        <v>20</v>
      </c>
      <c r="N5"/>
      <c r="O5"/>
      <c r="P5"/>
    </row>
    <row r="6" spans="2:18" ht="16.5" x14ac:dyDescent="0.25">
      <c r="C6" t="s">
        <v>344</v>
      </c>
      <c r="D6">
        <f>SUM(CLT[[#This Row],[9]:[9'']])</f>
        <v>80</v>
      </c>
      <c r="E6" t="str">
        <f>LEFT(CLT[[#This Row],[Layers (code)]],1)</f>
        <v>3</v>
      </c>
      <c r="F6">
        <v>3</v>
      </c>
      <c r="G6" t="str">
        <f t="shared" si="0"/>
        <v xml:space="preserve">80mm-3-   30 20 30   </v>
      </c>
      <c r="H6"/>
      <c r="I6"/>
      <c r="J6"/>
      <c r="K6">
        <v>30</v>
      </c>
      <c r="L6">
        <v>20</v>
      </c>
      <c r="M6">
        <v>30</v>
      </c>
      <c r="N6"/>
      <c r="O6"/>
      <c r="P6"/>
      <c r="Q6" s="105"/>
    </row>
    <row r="7" spans="2:18" ht="15" x14ac:dyDescent="0.25">
      <c r="C7" t="s">
        <v>342</v>
      </c>
      <c r="D7">
        <f>SUM(CLT[[#This Row],[9]:[9'']])</f>
        <v>90</v>
      </c>
      <c r="E7" t="str">
        <f>LEFT(CLT[[#This Row],[Layers (code)]],1)</f>
        <v>3</v>
      </c>
      <c r="F7">
        <v>3</v>
      </c>
      <c r="G7" t="str">
        <f t="shared" si="0"/>
        <v xml:space="preserve">90mm-3-   30 30 30   </v>
      </c>
      <c r="H7"/>
      <c r="I7"/>
      <c r="J7"/>
      <c r="K7">
        <v>30</v>
      </c>
      <c r="L7">
        <v>30</v>
      </c>
      <c r="M7">
        <v>30</v>
      </c>
      <c r="N7"/>
      <c r="O7"/>
      <c r="P7"/>
    </row>
    <row r="8" spans="2:18" ht="15" x14ac:dyDescent="0.25">
      <c r="C8" t="s">
        <v>342</v>
      </c>
      <c r="D8">
        <f>SUM(CLT[[#This Row],[9]:[9'']])</f>
        <v>100</v>
      </c>
      <c r="E8" t="str">
        <f>LEFT(CLT[[#This Row],[Layers (code)]],1)</f>
        <v>3</v>
      </c>
      <c r="F8">
        <v>3</v>
      </c>
      <c r="G8" t="str">
        <f t="shared" si="0"/>
        <v xml:space="preserve">100mm-3-   30 40 30   </v>
      </c>
      <c r="H8"/>
      <c r="I8"/>
      <c r="J8"/>
      <c r="K8">
        <v>30</v>
      </c>
      <c r="L8">
        <v>40</v>
      </c>
      <c r="M8">
        <v>30</v>
      </c>
      <c r="N8"/>
      <c r="O8"/>
      <c r="P8"/>
      <c r="R8" s="73" t="s">
        <v>405</v>
      </c>
    </row>
    <row r="9" spans="2:18" ht="15" x14ac:dyDescent="0.25">
      <c r="C9" t="s">
        <v>342</v>
      </c>
      <c r="D9">
        <f>SUM(CLT[[#This Row],[9]:[9'']])</f>
        <v>120</v>
      </c>
      <c r="E9" t="str">
        <f>LEFT(CLT[[#This Row],[Layers (code)]],1)</f>
        <v>3</v>
      </c>
      <c r="F9">
        <v>3</v>
      </c>
      <c r="G9" t="str">
        <f t="shared" si="0"/>
        <v xml:space="preserve">120mm-3-   40 40 40   </v>
      </c>
      <c r="H9"/>
      <c r="I9"/>
      <c r="J9"/>
      <c r="K9">
        <v>40</v>
      </c>
      <c r="L9">
        <v>40</v>
      </c>
      <c r="M9">
        <v>40</v>
      </c>
      <c r="N9"/>
      <c r="O9"/>
      <c r="P9"/>
      <c r="R9" s="73" t="s">
        <v>405</v>
      </c>
    </row>
    <row r="10" spans="2:18" ht="15" x14ac:dyDescent="0.25">
      <c r="C10" t="s">
        <v>342</v>
      </c>
      <c r="D10">
        <f>SUM(CLT[[#This Row],[9]:[9'']])</f>
        <v>100</v>
      </c>
      <c r="E10" t="str">
        <f>LEFT(CLT[[#This Row],[Layers (code)]],1)</f>
        <v>5</v>
      </c>
      <c r="F10">
        <v>5</v>
      </c>
      <c r="G10" t="str">
        <f t="shared" si="0"/>
        <v xml:space="preserve">100mm-5-  20 20 20 20 20  </v>
      </c>
      <c r="H10"/>
      <c r="I10"/>
      <c r="J10">
        <v>20</v>
      </c>
      <c r="K10">
        <v>20</v>
      </c>
      <c r="L10">
        <v>20</v>
      </c>
      <c r="M10">
        <v>20</v>
      </c>
      <c r="N10">
        <v>20</v>
      </c>
      <c r="O10"/>
      <c r="P10"/>
    </row>
    <row r="11" spans="2:18" ht="15" x14ac:dyDescent="0.25">
      <c r="C11" t="s">
        <v>342</v>
      </c>
      <c r="D11">
        <f>SUM(CLT[[#This Row],[9]:[9'']])</f>
        <v>120</v>
      </c>
      <c r="E11" t="str">
        <f>LEFT(CLT[[#This Row],[Layers (code)]],1)</f>
        <v>5</v>
      </c>
      <c r="F11">
        <v>5</v>
      </c>
      <c r="G11" t="str">
        <f t="shared" si="0"/>
        <v xml:space="preserve">120mm-5-  30 20 20 20 30  </v>
      </c>
      <c r="H11"/>
      <c r="I11"/>
      <c r="J11">
        <v>30</v>
      </c>
      <c r="K11">
        <v>20</v>
      </c>
      <c r="L11">
        <v>20</v>
      </c>
      <c r="M11">
        <v>20</v>
      </c>
      <c r="N11">
        <v>30</v>
      </c>
      <c r="O11"/>
      <c r="P11"/>
    </row>
    <row r="12" spans="2:18" ht="15" x14ac:dyDescent="0.25">
      <c r="C12" t="s">
        <v>342</v>
      </c>
      <c r="D12">
        <f>SUM(CLT[[#This Row],[9]:[9'']])</f>
        <v>140</v>
      </c>
      <c r="E12" t="str">
        <f>LEFT(CLT[[#This Row],[Layers (code)]],1)</f>
        <v>5</v>
      </c>
      <c r="F12">
        <v>5</v>
      </c>
      <c r="G12" t="str">
        <f t="shared" si="0"/>
        <v xml:space="preserve">140mm-5-  40 20 20 20 40  </v>
      </c>
      <c r="H12"/>
      <c r="I12"/>
      <c r="J12">
        <v>40</v>
      </c>
      <c r="K12">
        <v>20</v>
      </c>
      <c r="L12">
        <v>20</v>
      </c>
      <c r="M12">
        <v>20</v>
      </c>
      <c r="N12">
        <v>40</v>
      </c>
      <c r="O12"/>
      <c r="P12"/>
    </row>
    <row r="13" spans="2:18" ht="15" x14ac:dyDescent="0.25">
      <c r="C13" t="s">
        <v>339</v>
      </c>
      <c r="D13">
        <f>SUM(CLT[[#This Row],[9]:[9'']])</f>
        <v>160</v>
      </c>
      <c r="E13" t="str">
        <f>LEFT(CLT[[#This Row],[Layers (code)]],1)</f>
        <v>5</v>
      </c>
      <c r="F13">
        <v>5</v>
      </c>
      <c r="G13" t="str">
        <f t="shared" si="0"/>
        <v xml:space="preserve">160mm-5-  40 20 40 20 40  </v>
      </c>
      <c r="H13"/>
      <c r="I13"/>
      <c r="J13">
        <v>40</v>
      </c>
      <c r="K13">
        <v>20</v>
      </c>
      <c r="L13">
        <v>40</v>
      </c>
      <c r="M13">
        <v>20</v>
      </c>
      <c r="N13">
        <v>40</v>
      </c>
      <c r="O13"/>
      <c r="P13"/>
      <c r="R13" s="73" t="str">
        <f t="shared" ref="R13:R47" si="1">_xlfn.CONCAT(H13,,I13,J13,K13,L13,M13,N13,O13,P13,Q13)</f>
        <v>4020402040</v>
      </c>
    </row>
    <row r="14" spans="2:18" ht="15" x14ac:dyDescent="0.25">
      <c r="C14" t="s">
        <v>340</v>
      </c>
      <c r="D14">
        <f>SUM(CLT[[#This Row],[9]:[9'']])</f>
        <v>160</v>
      </c>
      <c r="E14" t="str">
        <f>LEFT(CLT[[#This Row],[Layers (code)]],1)</f>
        <v>5</v>
      </c>
      <c r="F14">
        <v>5</v>
      </c>
      <c r="G14" t="str">
        <f t="shared" si="0"/>
        <v xml:space="preserve">160mm-5-  30 30 40 30 30  </v>
      </c>
      <c r="H14"/>
      <c r="I14"/>
      <c r="J14">
        <v>30</v>
      </c>
      <c r="K14">
        <v>30</v>
      </c>
      <c r="L14">
        <v>40</v>
      </c>
      <c r="M14">
        <v>30</v>
      </c>
      <c r="N14">
        <v>30</v>
      </c>
      <c r="O14"/>
      <c r="P14"/>
      <c r="R14" s="73" t="str">
        <f t="shared" si="1"/>
        <v>3030403030</v>
      </c>
    </row>
    <row r="15" spans="2:18" ht="15" x14ac:dyDescent="0.25">
      <c r="C15" t="s">
        <v>341</v>
      </c>
      <c r="D15">
        <f>SUM(CLT[[#This Row],[9]:[9'']])</f>
        <v>170</v>
      </c>
      <c r="E15" t="str">
        <f>LEFT(CLT[[#This Row],[Layers (code)]],1)</f>
        <v>5</v>
      </c>
      <c r="F15">
        <v>5</v>
      </c>
      <c r="G15" t="str">
        <f t="shared" si="0"/>
        <v xml:space="preserve">170mm-5-  40 30 30 30 40  </v>
      </c>
      <c r="H15"/>
      <c r="I15"/>
      <c r="J15">
        <v>40</v>
      </c>
      <c r="K15">
        <v>30</v>
      </c>
      <c r="L15">
        <v>30</v>
      </c>
      <c r="M15">
        <v>30</v>
      </c>
      <c r="N15">
        <v>40</v>
      </c>
      <c r="O15"/>
      <c r="P15"/>
      <c r="R15" s="73" t="str">
        <f t="shared" si="1"/>
        <v>4030303040</v>
      </c>
    </row>
    <row r="16" spans="2:18" ht="15" x14ac:dyDescent="0.25">
      <c r="C16" t="s">
        <v>340</v>
      </c>
      <c r="D16">
        <f>SUM(CLT[[#This Row],[9]:[9'']])</f>
        <v>170</v>
      </c>
      <c r="E16" t="str">
        <f>LEFT(CLT[[#This Row],[Layers (code)]],1)</f>
        <v>5</v>
      </c>
      <c r="F16">
        <v>5</v>
      </c>
      <c r="G16" t="str">
        <f t="shared" si="0"/>
        <v xml:space="preserve">170mm-5-  30 40 30 40 30  </v>
      </c>
      <c r="H16"/>
      <c r="I16"/>
      <c r="J16">
        <v>30</v>
      </c>
      <c r="K16">
        <v>40</v>
      </c>
      <c r="L16">
        <v>30</v>
      </c>
      <c r="M16">
        <v>40</v>
      </c>
      <c r="N16">
        <v>30</v>
      </c>
      <c r="O16"/>
      <c r="P16"/>
      <c r="R16" s="73" t="str">
        <f t="shared" si="1"/>
        <v>3040304030</v>
      </c>
    </row>
    <row r="17" spans="3:18" ht="15" x14ac:dyDescent="0.25">
      <c r="C17" t="s">
        <v>342</v>
      </c>
      <c r="D17">
        <f>SUM(CLT[[#This Row],[9]:[9'']])</f>
        <v>180</v>
      </c>
      <c r="E17" t="str">
        <f>LEFT(CLT[[#This Row],[Layers (code)]],1)</f>
        <v>5</v>
      </c>
      <c r="F17">
        <v>5</v>
      </c>
      <c r="G17" t="str">
        <f t="shared" si="0"/>
        <v xml:space="preserve">180mm-5-  40 30 40 30 40  </v>
      </c>
      <c r="H17"/>
      <c r="I17"/>
      <c r="J17">
        <v>40</v>
      </c>
      <c r="K17">
        <v>30</v>
      </c>
      <c r="L17">
        <v>40</v>
      </c>
      <c r="M17">
        <v>30</v>
      </c>
      <c r="N17">
        <v>40</v>
      </c>
      <c r="O17"/>
      <c r="P17"/>
      <c r="R17" s="73" t="str">
        <f t="shared" si="1"/>
        <v>4030403040</v>
      </c>
    </row>
    <row r="18" spans="3:18" ht="15" x14ac:dyDescent="0.25">
      <c r="C18" t="s">
        <v>341</v>
      </c>
      <c r="D18">
        <f>SUM(CLT[[#This Row],[9]:[9'']])</f>
        <v>180</v>
      </c>
      <c r="E18" t="str">
        <f>LEFT(CLT[[#This Row],[Layers (code)]],1)</f>
        <v>7</v>
      </c>
      <c r="F18">
        <v>7</v>
      </c>
      <c r="G18" t="str">
        <f t="shared" si="0"/>
        <v xml:space="preserve">180mm-7- 20 40 20 20 20 40 20 </v>
      </c>
      <c r="H18"/>
      <c r="I18">
        <v>20</v>
      </c>
      <c r="J18">
        <v>40</v>
      </c>
      <c r="K18">
        <v>20</v>
      </c>
      <c r="L18">
        <v>20</v>
      </c>
      <c r="M18">
        <v>20</v>
      </c>
      <c r="N18">
        <v>40</v>
      </c>
      <c r="O18">
        <v>20</v>
      </c>
      <c r="P18"/>
      <c r="R18" s="73" t="str">
        <f t="shared" si="1"/>
        <v>20402020204020</v>
      </c>
    </row>
    <row r="19" spans="3:18" ht="15" x14ac:dyDescent="0.25">
      <c r="C19" t="s">
        <v>340</v>
      </c>
      <c r="D19">
        <f>SUM(CLT[[#This Row],[9]:[9'']])</f>
        <v>180</v>
      </c>
      <c r="E19" t="str">
        <f>LEFT(CLT[[#This Row],[Layers (code)]],1)</f>
        <v>7</v>
      </c>
      <c r="F19">
        <v>7</v>
      </c>
      <c r="G19" t="str">
        <f t="shared" si="0"/>
        <v xml:space="preserve">180mm-7- 30 20 30 20 30 20 30 </v>
      </c>
      <c r="H19"/>
      <c r="I19">
        <v>30</v>
      </c>
      <c r="J19">
        <v>20</v>
      </c>
      <c r="K19">
        <v>30</v>
      </c>
      <c r="L19">
        <v>20</v>
      </c>
      <c r="M19">
        <v>30</v>
      </c>
      <c r="N19">
        <v>20</v>
      </c>
      <c r="O19">
        <v>30</v>
      </c>
      <c r="P19"/>
      <c r="R19" s="73" t="str">
        <f t="shared" si="1"/>
        <v>30203020302030</v>
      </c>
    </row>
    <row r="20" spans="3:18" ht="15" x14ac:dyDescent="0.25">
      <c r="C20" t="s">
        <v>341</v>
      </c>
      <c r="D20">
        <f>SUM(CLT[[#This Row],[9]:[9'']])</f>
        <v>190</v>
      </c>
      <c r="E20" t="str">
        <f>LEFT(CLT[[#This Row],[Layers (code)]],1)</f>
        <v>5</v>
      </c>
      <c r="F20">
        <v>5</v>
      </c>
      <c r="G20" t="str">
        <f t="shared" si="0"/>
        <v xml:space="preserve">190mm-5-  40 40 30 40 40  </v>
      </c>
      <c r="H20"/>
      <c r="I20"/>
      <c r="J20">
        <v>40</v>
      </c>
      <c r="K20">
        <v>40</v>
      </c>
      <c r="L20">
        <v>30</v>
      </c>
      <c r="M20">
        <v>40</v>
      </c>
      <c r="N20">
        <v>40</v>
      </c>
      <c r="O20"/>
      <c r="P20"/>
      <c r="R20" s="73" t="str">
        <f t="shared" si="1"/>
        <v>4040304040</v>
      </c>
    </row>
    <row r="21" spans="3:18" ht="15" x14ac:dyDescent="0.25">
      <c r="C21" t="s">
        <v>339</v>
      </c>
      <c r="D21">
        <f>SUM(CLT[[#This Row],[9]:[9'']])</f>
        <v>200</v>
      </c>
      <c r="E21" t="str">
        <f>LEFT(CLT[[#This Row],[Layers (code)]],1)</f>
        <v>5</v>
      </c>
      <c r="F21">
        <v>5</v>
      </c>
      <c r="G21" t="str">
        <f t="shared" si="0"/>
        <v xml:space="preserve">200mm-5-  60 20 40 20 60  </v>
      </c>
      <c r="H21"/>
      <c r="I21"/>
      <c r="J21">
        <v>60</v>
      </c>
      <c r="K21">
        <v>20</v>
      </c>
      <c r="L21">
        <v>40</v>
      </c>
      <c r="M21">
        <v>20</v>
      </c>
      <c r="N21">
        <v>60</v>
      </c>
      <c r="O21"/>
      <c r="P21"/>
      <c r="R21" s="73" t="str">
        <f t="shared" si="1"/>
        <v>6020402060</v>
      </c>
    </row>
    <row r="22" spans="3:18" ht="15" x14ac:dyDescent="0.25">
      <c r="C22" t="s">
        <v>342</v>
      </c>
      <c r="D22">
        <f>SUM(CLT[[#This Row],[9]:[9'']])</f>
        <v>200</v>
      </c>
      <c r="E22" t="str">
        <f>LEFT(CLT[[#This Row],[Layers (code)]],1)</f>
        <v>5</v>
      </c>
      <c r="F22">
        <v>5</v>
      </c>
      <c r="G22" t="str">
        <f t="shared" si="0"/>
        <v xml:space="preserve">200mm-5-  40 40 40 40 40  </v>
      </c>
      <c r="H22"/>
      <c r="I22"/>
      <c r="J22">
        <v>40</v>
      </c>
      <c r="K22">
        <v>40</v>
      </c>
      <c r="L22">
        <v>40</v>
      </c>
      <c r="M22">
        <v>40</v>
      </c>
      <c r="N22">
        <v>40</v>
      </c>
      <c r="O22"/>
      <c r="P22"/>
      <c r="R22" s="73" t="str">
        <f t="shared" si="1"/>
        <v>4040404040</v>
      </c>
    </row>
    <row r="23" spans="3:18" ht="15" x14ac:dyDescent="0.25">
      <c r="C23" t="s">
        <v>342</v>
      </c>
      <c r="D23">
        <f>SUM(CLT[[#This Row],[9]:[9'']])</f>
        <v>200</v>
      </c>
      <c r="E23" t="str">
        <f>LEFT(CLT[[#This Row],[Layers (code)]],1)</f>
        <v>7</v>
      </c>
      <c r="F23">
        <v>7</v>
      </c>
      <c r="G23" t="str">
        <f t="shared" si="0"/>
        <v xml:space="preserve">200mm-7- 30 30 30 20 30 30 30 </v>
      </c>
      <c r="H23"/>
      <c r="I23">
        <v>30</v>
      </c>
      <c r="J23">
        <v>30</v>
      </c>
      <c r="K23">
        <v>30</v>
      </c>
      <c r="L23">
        <v>20</v>
      </c>
      <c r="M23">
        <v>30</v>
      </c>
      <c r="N23">
        <v>30</v>
      </c>
      <c r="O23">
        <v>30</v>
      </c>
      <c r="P23"/>
      <c r="R23" s="73" t="str">
        <f t="shared" si="1"/>
        <v>30303020303030</v>
      </c>
    </row>
    <row r="24" spans="3:18" ht="15" x14ac:dyDescent="0.25">
      <c r="C24" t="s">
        <v>344</v>
      </c>
      <c r="D24">
        <f>SUM(CLT[[#This Row],[9]:[9'']])</f>
        <v>200</v>
      </c>
      <c r="E24" t="str">
        <f>LEFT(CLT[[#This Row],[Layers (code)]],1)</f>
        <v>7</v>
      </c>
      <c r="F24">
        <v>7</v>
      </c>
      <c r="G24" t="str">
        <f t="shared" si="0"/>
        <v xml:space="preserve">200mm-7- 20 40 20 40 20 40 20 </v>
      </c>
      <c r="H24"/>
      <c r="I24">
        <v>20</v>
      </c>
      <c r="J24">
        <v>40</v>
      </c>
      <c r="K24">
        <v>20</v>
      </c>
      <c r="L24">
        <v>40</v>
      </c>
      <c r="M24">
        <v>20</v>
      </c>
      <c r="N24">
        <v>40</v>
      </c>
      <c r="O24">
        <v>20</v>
      </c>
      <c r="P24"/>
      <c r="R24" s="73" t="str">
        <f t="shared" si="1"/>
        <v>20402040204020</v>
      </c>
    </row>
    <row r="25" spans="3:18" ht="15" x14ac:dyDescent="0.25">
      <c r="C25" t="s">
        <v>342</v>
      </c>
      <c r="D25">
        <f>SUM(CLT[[#This Row],[9]:[9'']])</f>
        <v>210</v>
      </c>
      <c r="E25" t="str">
        <f>LEFT(CLT[[#This Row],[Layers (code)]],1)</f>
        <v>7</v>
      </c>
      <c r="F25">
        <v>7</v>
      </c>
      <c r="G25" t="str">
        <f t="shared" si="0"/>
        <v xml:space="preserve">210mm-7- 30 30 30 30 30 30 30 </v>
      </c>
      <c r="H25"/>
      <c r="I25">
        <v>30</v>
      </c>
      <c r="J25">
        <v>30</v>
      </c>
      <c r="K25">
        <v>30</v>
      </c>
      <c r="L25">
        <v>30</v>
      </c>
      <c r="M25">
        <v>30</v>
      </c>
      <c r="N25">
        <v>30</v>
      </c>
      <c r="O25">
        <v>30</v>
      </c>
      <c r="P25"/>
      <c r="R25" s="73" t="str">
        <f t="shared" si="1"/>
        <v>30303030303030</v>
      </c>
    </row>
    <row r="26" spans="3:18" ht="15" x14ac:dyDescent="0.25">
      <c r="C26" t="s">
        <v>342</v>
      </c>
      <c r="D26">
        <f>SUM(CLT[[#This Row],[9]:[9'']])</f>
        <v>210</v>
      </c>
      <c r="E26" t="str">
        <f>LEFT(CLT[[#This Row],[Layers (code)]],1)</f>
        <v>7</v>
      </c>
      <c r="F26" t="s">
        <v>343</v>
      </c>
      <c r="G26" t="str">
        <f t="shared" si="0"/>
        <v xml:space="preserve">210mm-7s-  60 30 30 30 60  </v>
      </c>
      <c r="H26"/>
      <c r="I26"/>
      <c r="J26">
        <v>60</v>
      </c>
      <c r="K26">
        <v>30</v>
      </c>
      <c r="L26">
        <v>30</v>
      </c>
      <c r="M26">
        <v>30</v>
      </c>
      <c r="N26">
        <v>60</v>
      </c>
      <c r="O26"/>
      <c r="P26"/>
      <c r="R26" s="73" t="str">
        <f t="shared" si="1"/>
        <v>6030303060</v>
      </c>
    </row>
    <row r="27" spans="3:18" ht="15" x14ac:dyDescent="0.25">
      <c r="C27" t="s">
        <v>339</v>
      </c>
      <c r="D27">
        <f>SUM(CLT[[#This Row],[9]:[9'']])</f>
        <v>220</v>
      </c>
      <c r="E27" t="str">
        <f>LEFT(CLT[[#This Row],[Layers (code)]],1)</f>
        <v>5</v>
      </c>
      <c r="F27">
        <v>5</v>
      </c>
      <c r="G27" t="str">
        <f t="shared" si="0"/>
        <v xml:space="preserve">220mm-5-  60 30 40 30 60  </v>
      </c>
      <c r="H27"/>
      <c r="I27"/>
      <c r="J27">
        <v>60</v>
      </c>
      <c r="K27">
        <v>30</v>
      </c>
      <c r="L27">
        <v>40</v>
      </c>
      <c r="M27">
        <v>30</v>
      </c>
      <c r="N27">
        <v>60</v>
      </c>
      <c r="O27"/>
      <c r="P27"/>
      <c r="R27" s="73" t="str">
        <f t="shared" si="1"/>
        <v>6030403060</v>
      </c>
    </row>
    <row r="28" spans="3:18" ht="15" x14ac:dyDescent="0.25">
      <c r="C28" t="s">
        <v>342</v>
      </c>
      <c r="D28">
        <f>SUM(CLT[[#This Row],[9]:[9'']])</f>
        <v>220</v>
      </c>
      <c r="E28" t="str">
        <f>LEFT(CLT[[#This Row],[Layers (code)]],1)</f>
        <v>7</v>
      </c>
      <c r="F28">
        <v>7</v>
      </c>
      <c r="G28" t="str">
        <f t="shared" si="0"/>
        <v xml:space="preserve">220mm-7- 40 40 20 20 20 40 40 </v>
      </c>
      <c r="H28"/>
      <c r="I28">
        <v>40</v>
      </c>
      <c r="J28">
        <v>40</v>
      </c>
      <c r="K28">
        <v>20</v>
      </c>
      <c r="L28">
        <v>20</v>
      </c>
      <c r="M28">
        <v>20</v>
      </c>
      <c r="N28">
        <v>40</v>
      </c>
      <c r="O28">
        <v>40</v>
      </c>
      <c r="P28"/>
      <c r="R28" s="73" t="str">
        <f t="shared" si="1"/>
        <v>40402020204040</v>
      </c>
    </row>
    <row r="29" spans="3:18" ht="15" x14ac:dyDescent="0.25">
      <c r="C29" t="s">
        <v>341</v>
      </c>
      <c r="D29">
        <f>SUM(CLT[[#This Row],[9]:[9'']])</f>
        <v>220</v>
      </c>
      <c r="E29" t="str">
        <f>LEFT(CLT[[#This Row],[Layers (code)]],1)</f>
        <v>7</v>
      </c>
      <c r="F29">
        <v>7</v>
      </c>
      <c r="G29" t="str">
        <f t="shared" si="0"/>
        <v xml:space="preserve">220mm-7- 30 40 30 20 30 40 30 </v>
      </c>
      <c r="H29"/>
      <c r="I29">
        <v>30</v>
      </c>
      <c r="J29">
        <v>40</v>
      </c>
      <c r="K29">
        <v>30</v>
      </c>
      <c r="L29">
        <v>20</v>
      </c>
      <c r="M29">
        <v>30</v>
      </c>
      <c r="N29">
        <v>40</v>
      </c>
      <c r="O29">
        <v>30</v>
      </c>
      <c r="P29"/>
      <c r="R29" s="73" t="str">
        <f t="shared" si="1"/>
        <v>30403020304030</v>
      </c>
    </row>
    <row r="30" spans="3:18" ht="15" x14ac:dyDescent="0.25">
      <c r="C30" t="s">
        <v>341</v>
      </c>
      <c r="D30">
        <f>SUM(CLT[[#This Row],[9]:[9'']])</f>
        <v>220</v>
      </c>
      <c r="E30" t="str">
        <f>LEFT(CLT[[#This Row],[Layers (code)]],1)</f>
        <v>7</v>
      </c>
      <c r="F30" t="s">
        <v>343</v>
      </c>
      <c r="G30" t="str">
        <f t="shared" si="0"/>
        <v xml:space="preserve">220mm-7s-  80 20 20 20 80  </v>
      </c>
      <c r="H30"/>
      <c r="I30"/>
      <c r="J30">
        <v>80</v>
      </c>
      <c r="K30">
        <v>20</v>
      </c>
      <c r="L30">
        <v>20</v>
      </c>
      <c r="M30">
        <v>20</v>
      </c>
      <c r="N30">
        <v>80</v>
      </c>
      <c r="O30"/>
      <c r="P30"/>
      <c r="R30" s="73" t="str">
        <f t="shared" si="1"/>
        <v>8020202080</v>
      </c>
    </row>
    <row r="31" spans="3:18" ht="15" x14ac:dyDescent="0.25">
      <c r="C31" t="s">
        <v>345</v>
      </c>
      <c r="D31">
        <f>SUM(CLT[[#This Row],[9]:[9'']])</f>
        <v>220</v>
      </c>
      <c r="E31" t="str">
        <f>LEFT(CLT[[#This Row],[Layers (code)]],1)</f>
        <v>7</v>
      </c>
      <c r="F31">
        <v>7</v>
      </c>
      <c r="G31" t="str">
        <f t="shared" si="0"/>
        <v xml:space="preserve">220mm-7- 40 20 40 20 40 20 40 </v>
      </c>
      <c r="H31"/>
      <c r="I31">
        <v>40</v>
      </c>
      <c r="J31">
        <v>20</v>
      </c>
      <c r="K31">
        <v>40</v>
      </c>
      <c r="L31">
        <v>20</v>
      </c>
      <c r="M31">
        <v>40</v>
      </c>
      <c r="N31">
        <v>20</v>
      </c>
      <c r="O31">
        <v>40</v>
      </c>
      <c r="P31"/>
      <c r="R31" s="73" t="str">
        <f t="shared" si="1"/>
        <v>40204020402040</v>
      </c>
    </row>
    <row r="32" spans="3:18" ht="15" x14ac:dyDescent="0.25">
      <c r="C32" t="s">
        <v>342</v>
      </c>
      <c r="D32">
        <f>SUM(CLT[[#This Row],[9]:[9'']])</f>
        <v>240</v>
      </c>
      <c r="E32" t="str">
        <f>LEFT(CLT[[#This Row],[Layers (code)]],1)</f>
        <v>7</v>
      </c>
      <c r="F32">
        <v>7</v>
      </c>
      <c r="G32" t="str">
        <f t="shared" si="0"/>
        <v xml:space="preserve">240mm-7- 40 40 20 40 20 40 40 </v>
      </c>
      <c r="H32"/>
      <c r="I32">
        <v>40</v>
      </c>
      <c r="J32">
        <v>40</v>
      </c>
      <c r="K32">
        <v>20</v>
      </c>
      <c r="L32">
        <v>40</v>
      </c>
      <c r="M32">
        <v>20</v>
      </c>
      <c r="N32">
        <v>40</v>
      </c>
      <c r="O32">
        <v>40</v>
      </c>
      <c r="P32"/>
      <c r="R32" s="73" t="str">
        <f t="shared" si="1"/>
        <v>40402040204040</v>
      </c>
    </row>
    <row r="33" spans="3:18" ht="15" x14ac:dyDescent="0.25">
      <c r="C33" t="s">
        <v>341</v>
      </c>
      <c r="D33">
        <f>SUM(CLT[[#This Row],[9]:[9'']])</f>
        <v>240</v>
      </c>
      <c r="E33" t="str">
        <f>LEFT(CLT[[#This Row],[Layers (code)]],1)</f>
        <v>7</v>
      </c>
      <c r="F33">
        <v>7</v>
      </c>
      <c r="G33" t="str">
        <f t="shared" si="0"/>
        <v xml:space="preserve">240mm-7- 30 40 30 40 30 40 30 </v>
      </c>
      <c r="H33"/>
      <c r="I33">
        <v>30</v>
      </c>
      <c r="J33">
        <v>40</v>
      </c>
      <c r="K33">
        <v>30</v>
      </c>
      <c r="L33">
        <v>40</v>
      </c>
      <c r="M33">
        <v>30</v>
      </c>
      <c r="N33">
        <v>40</v>
      </c>
      <c r="O33">
        <v>30</v>
      </c>
      <c r="P33"/>
      <c r="R33" s="73" t="str">
        <f t="shared" si="1"/>
        <v>30403040304030</v>
      </c>
    </row>
    <row r="34" spans="3:18" ht="15" x14ac:dyDescent="0.25">
      <c r="C34" t="s">
        <v>345</v>
      </c>
      <c r="D34">
        <f>SUM(CLT[[#This Row],[9]:[9'']])</f>
        <v>240</v>
      </c>
      <c r="E34" t="str">
        <f>LEFT(CLT[[#This Row],[Layers (code)]],1)</f>
        <v>7</v>
      </c>
      <c r="F34">
        <v>7</v>
      </c>
      <c r="G34" t="str">
        <f t="shared" si="0"/>
        <v xml:space="preserve">240mm-7- 40 20 40 40 40 20 40 </v>
      </c>
      <c r="H34"/>
      <c r="I34">
        <v>40</v>
      </c>
      <c r="J34">
        <v>20</v>
      </c>
      <c r="K34">
        <v>40</v>
      </c>
      <c r="L34">
        <v>40</v>
      </c>
      <c r="M34">
        <v>40</v>
      </c>
      <c r="N34">
        <v>20</v>
      </c>
      <c r="O34">
        <v>40</v>
      </c>
      <c r="P34"/>
      <c r="R34" s="73" t="str">
        <f t="shared" si="1"/>
        <v>40204040402040</v>
      </c>
    </row>
    <row r="35" spans="3:18" ht="15" x14ac:dyDescent="0.25">
      <c r="C35" t="s">
        <v>345</v>
      </c>
      <c r="D35">
        <f>SUM(CLT[[#This Row],[9]:[9'']])</f>
        <v>240</v>
      </c>
      <c r="E35" t="str">
        <f>LEFT(CLT[[#This Row],[Layers (code)]],1)</f>
        <v>7</v>
      </c>
      <c r="F35" t="s">
        <v>343</v>
      </c>
      <c r="G35" t="str">
        <f t="shared" si="0"/>
        <v xml:space="preserve">240mm-7s-  80 20 40 20 80  </v>
      </c>
      <c r="H35"/>
      <c r="I35"/>
      <c r="J35">
        <v>80</v>
      </c>
      <c r="K35">
        <v>20</v>
      </c>
      <c r="L35">
        <v>40</v>
      </c>
      <c r="M35">
        <v>20</v>
      </c>
      <c r="N35">
        <v>80</v>
      </c>
      <c r="O35"/>
      <c r="P35"/>
      <c r="R35" s="73" t="str">
        <f t="shared" si="1"/>
        <v>8020402080</v>
      </c>
    </row>
    <row r="36" spans="3:18" ht="15" x14ac:dyDescent="0.25">
      <c r="C36" t="s">
        <v>346</v>
      </c>
      <c r="D36">
        <f>SUM(CLT[[#This Row],[9]:[9'']])</f>
        <v>252</v>
      </c>
      <c r="E36" t="str">
        <f>LEFT(CLT[[#This Row],[Layers (code)]],1)</f>
        <v>7</v>
      </c>
      <c r="F36">
        <v>7</v>
      </c>
      <c r="G36" t="str">
        <f t="shared" si="0"/>
        <v xml:space="preserve">252mm-7- 33 40 33 40 33 40 33 </v>
      </c>
      <c r="H36"/>
      <c r="I36">
        <v>33</v>
      </c>
      <c r="J36">
        <v>40</v>
      </c>
      <c r="K36">
        <v>33</v>
      </c>
      <c r="L36">
        <v>40</v>
      </c>
      <c r="M36">
        <v>33</v>
      </c>
      <c r="N36">
        <v>40</v>
      </c>
      <c r="O36">
        <v>33</v>
      </c>
      <c r="P36"/>
      <c r="Q36" s="102"/>
      <c r="R36" s="73" t="str">
        <f t="shared" si="1"/>
        <v>33403340334033</v>
      </c>
    </row>
    <row r="37" spans="3:18" ht="15" x14ac:dyDescent="0.25">
      <c r="C37" t="s">
        <v>339</v>
      </c>
      <c r="D37">
        <f>SUM(CLT[[#This Row],[9]:[9'']])</f>
        <v>260</v>
      </c>
      <c r="E37" t="str">
        <f>LEFT(CLT[[#This Row],[Layers (code)]],1)</f>
        <v>5</v>
      </c>
      <c r="F37">
        <v>5</v>
      </c>
      <c r="G37" t="str">
        <f t="shared" si="0"/>
        <v xml:space="preserve">260mm-5-  80 30 40 30 80  </v>
      </c>
      <c r="H37"/>
      <c r="I37"/>
      <c r="J37">
        <v>80</v>
      </c>
      <c r="K37">
        <v>30</v>
      </c>
      <c r="L37">
        <v>40</v>
      </c>
      <c r="M37">
        <v>30</v>
      </c>
      <c r="N37">
        <v>80</v>
      </c>
      <c r="O37"/>
      <c r="P37"/>
      <c r="R37" s="73" t="str">
        <f t="shared" si="1"/>
        <v>8030403080</v>
      </c>
    </row>
    <row r="38" spans="3:18" ht="15" x14ac:dyDescent="0.25">
      <c r="C38" t="s">
        <v>342</v>
      </c>
      <c r="D38">
        <f>SUM(CLT[[#This Row],[9]:[9'']])</f>
        <v>260</v>
      </c>
      <c r="E38" t="str">
        <f>LEFT(CLT[[#This Row],[Layers (code)]],1)</f>
        <v>7</v>
      </c>
      <c r="F38">
        <v>7</v>
      </c>
      <c r="G38" t="str">
        <f t="shared" si="0"/>
        <v xml:space="preserve">260mm-7- 40 40 30 40 30 40 40 </v>
      </c>
      <c r="H38"/>
      <c r="I38">
        <v>40</v>
      </c>
      <c r="J38">
        <v>40</v>
      </c>
      <c r="K38">
        <v>30</v>
      </c>
      <c r="L38">
        <v>40</v>
      </c>
      <c r="M38">
        <v>30</v>
      </c>
      <c r="N38">
        <v>40</v>
      </c>
      <c r="O38">
        <v>40</v>
      </c>
      <c r="P38"/>
      <c r="R38" s="73" t="str">
        <f t="shared" si="1"/>
        <v>40403040304040</v>
      </c>
    </row>
    <row r="39" spans="3:18" ht="15" x14ac:dyDescent="0.25">
      <c r="C39" t="s">
        <v>342</v>
      </c>
      <c r="D39">
        <f>SUM(CLT[[#This Row],[9]:[9'']])</f>
        <v>260</v>
      </c>
      <c r="E39" t="str">
        <f>LEFT(CLT[[#This Row],[Layers (code)]],1)</f>
        <v>7</v>
      </c>
      <c r="F39" t="s">
        <v>343</v>
      </c>
      <c r="G39" t="str">
        <f t="shared" si="0"/>
        <v xml:space="preserve">260mm-7s-  80 30 40 30 80  </v>
      </c>
      <c r="H39"/>
      <c r="I39"/>
      <c r="J39">
        <v>80</v>
      </c>
      <c r="K39">
        <v>30</v>
      </c>
      <c r="L39">
        <v>40</v>
      </c>
      <c r="M39">
        <v>30</v>
      </c>
      <c r="N39">
        <v>80</v>
      </c>
      <c r="O39"/>
      <c r="P39"/>
      <c r="R39" s="73" t="str">
        <f t="shared" si="1"/>
        <v>8030403080</v>
      </c>
    </row>
    <row r="40" spans="3:18" ht="15" x14ac:dyDescent="0.25">
      <c r="C40" t="s">
        <v>342</v>
      </c>
      <c r="D40">
        <f>SUM(CLT[[#This Row],[9]:[9'']])</f>
        <v>280</v>
      </c>
      <c r="E40" t="str">
        <f>LEFT(CLT[[#This Row],[Layers (code)]],1)</f>
        <v>7</v>
      </c>
      <c r="F40">
        <v>7</v>
      </c>
      <c r="G40" t="str">
        <f t="shared" si="0"/>
        <v xml:space="preserve">280mm-7- 40 40 40 40 40 40 40 </v>
      </c>
      <c r="H40"/>
      <c r="I40">
        <v>40</v>
      </c>
      <c r="J40">
        <v>40</v>
      </c>
      <c r="K40">
        <v>40</v>
      </c>
      <c r="L40">
        <v>40</v>
      </c>
      <c r="M40">
        <v>40</v>
      </c>
      <c r="N40">
        <v>40</v>
      </c>
      <c r="O40">
        <v>40</v>
      </c>
      <c r="P40"/>
      <c r="R40" s="73" t="str">
        <f t="shared" si="1"/>
        <v>40404040404040</v>
      </c>
    </row>
    <row r="41" spans="3:18" ht="15" x14ac:dyDescent="0.25">
      <c r="C41" t="s">
        <v>345</v>
      </c>
      <c r="D41">
        <f>SUM(CLT[[#This Row],[9]:[9'']])</f>
        <v>280</v>
      </c>
      <c r="E41" t="str">
        <f>LEFT(CLT[[#This Row],[Layers (code)]],1)</f>
        <v>7</v>
      </c>
      <c r="F41" t="s">
        <v>343</v>
      </c>
      <c r="G41" t="str">
        <f t="shared" si="0"/>
        <v xml:space="preserve">280mm-7s-  80 40 40 40 80  </v>
      </c>
      <c r="H41"/>
      <c r="I41"/>
      <c r="J41">
        <v>80</v>
      </c>
      <c r="K41">
        <v>40</v>
      </c>
      <c r="L41">
        <v>40</v>
      </c>
      <c r="M41">
        <v>40</v>
      </c>
      <c r="N41">
        <v>80</v>
      </c>
      <c r="O41"/>
      <c r="P41"/>
      <c r="R41" s="73" t="str">
        <f t="shared" si="1"/>
        <v>8040404080</v>
      </c>
    </row>
    <row r="42" spans="3:18" ht="15" x14ac:dyDescent="0.25">
      <c r="C42" t="s">
        <v>346</v>
      </c>
      <c r="D42">
        <f>SUM(CLT[[#This Row],[9]:[9'']])</f>
        <v>297</v>
      </c>
      <c r="E42" t="str">
        <f>LEFT(CLT[[#This Row],[Layers (code)]],1)</f>
        <v>9</v>
      </c>
      <c r="F42">
        <v>9</v>
      </c>
      <c r="G42" t="str">
        <f t="shared" si="0"/>
        <v>297mm-9-33 33 33 33 33 33 33 33 33</v>
      </c>
      <c r="H42">
        <v>33</v>
      </c>
      <c r="I42">
        <v>33</v>
      </c>
      <c r="J42">
        <v>33</v>
      </c>
      <c r="K42">
        <v>33</v>
      </c>
      <c r="L42">
        <v>33</v>
      </c>
      <c r="M42">
        <v>33</v>
      </c>
      <c r="N42">
        <v>33</v>
      </c>
      <c r="O42">
        <v>33</v>
      </c>
      <c r="P42">
        <v>33</v>
      </c>
      <c r="Q42" s="102"/>
      <c r="R42" s="73" t="str">
        <f t="shared" si="1"/>
        <v>333333333333333333</v>
      </c>
    </row>
    <row r="43" spans="3:18" ht="15" x14ac:dyDescent="0.25">
      <c r="C43" t="s">
        <v>342</v>
      </c>
      <c r="D43">
        <f>SUM(CLT[[#This Row],[9]:[9'']])</f>
        <v>410</v>
      </c>
      <c r="E43" t="str">
        <f>LEFT(CLT[[#This Row],[Layers (code)]],1)</f>
        <v>8</v>
      </c>
      <c r="F43" t="s">
        <v>1018</v>
      </c>
      <c r="G43" t="str">
        <f t="shared" si="0"/>
        <v xml:space="preserve">410mm-8s-80 30 80 30 80 30 80  </v>
      </c>
      <c r="H43">
        <v>80</v>
      </c>
      <c r="I43">
        <v>30</v>
      </c>
      <c r="J43">
        <f>N43</f>
        <v>80</v>
      </c>
      <c r="K43">
        <f>M43</f>
        <v>30</v>
      </c>
      <c r="L43">
        <v>80</v>
      </c>
      <c r="M43">
        <v>30</v>
      </c>
      <c r="N43">
        <v>80</v>
      </c>
      <c r="O43"/>
      <c r="P43"/>
      <c r="R43" s="73" t="str">
        <f t="shared" si="1"/>
        <v>80308030803080</v>
      </c>
    </row>
    <row r="44" spans="3:18" ht="16.5" x14ac:dyDescent="0.25">
      <c r="C44" t="s">
        <v>345</v>
      </c>
      <c r="D44">
        <f>SUM(CLT[[#This Row],[9]:[9'']])</f>
        <v>300</v>
      </c>
      <c r="E44" t="str">
        <f>LEFT(CLT[[#This Row],[Layers (code)]],1)</f>
        <v>9</v>
      </c>
      <c r="F44" t="s">
        <v>347</v>
      </c>
      <c r="G44" t="str">
        <f t="shared" si="0"/>
        <v xml:space="preserve">300mm-9s- 80 20 40 20 40 20 80 </v>
      </c>
      <c r="H44"/>
      <c r="I44">
        <v>80</v>
      </c>
      <c r="J44">
        <v>20</v>
      </c>
      <c r="K44">
        <v>40</v>
      </c>
      <c r="L44">
        <v>20</v>
      </c>
      <c r="M44">
        <v>40</v>
      </c>
      <c r="N44">
        <v>20</v>
      </c>
      <c r="O44">
        <v>80</v>
      </c>
      <c r="P44"/>
      <c r="Q44" s="105"/>
      <c r="R44" s="73" t="str">
        <f t="shared" si="1"/>
        <v>80204020402080</v>
      </c>
    </row>
    <row r="45" spans="3:18" ht="16.5" x14ac:dyDescent="0.25">
      <c r="C45" t="s">
        <v>348</v>
      </c>
      <c r="D45">
        <f>SUM(CLT[[#This Row],[9]:[9'']])</f>
        <v>320</v>
      </c>
      <c r="E45" t="str">
        <f>LEFT(CLT[[#This Row],[Layers (code)]],1)</f>
        <v>9</v>
      </c>
      <c r="F45">
        <v>9</v>
      </c>
      <c r="G45" t="str">
        <f t="shared" si="0"/>
        <v>320mm-9-40 30 40 30 40 30 40 30 40</v>
      </c>
      <c r="H45">
        <v>40</v>
      </c>
      <c r="I45">
        <v>30</v>
      </c>
      <c r="J45">
        <v>40</v>
      </c>
      <c r="K45">
        <v>30</v>
      </c>
      <c r="L45">
        <v>40</v>
      </c>
      <c r="M45">
        <v>30</v>
      </c>
      <c r="N45">
        <v>40</v>
      </c>
      <c r="O45">
        <v>30</v>
      </c>
      <c r="P45">
        <v>40</v>
      </c>
      <c r="Q45" s="105"/>
      <c r="R45" s="73" t="str">
        <f t="shared" si="1"/>
        <v>403040304030403040</v>
      </c>
    </row>
    <row r="46" spans="3:18" ht="16.5" x14ac:dyDescent="0.25">
      <c r="C46" t="s">
        <v>348</v>
      </c>
      <c r="D46">
        <f>SUM(CLT[[#This Row],[9]:[9'']])</f>
        <v>340</v>
      </c>
      <c r="E46" t="str">
        <f>LEFT(CLT[[#This Row],[Layers (code)]],1)</f>
        <v>9</v>
      </c>
      <c r="F46">
        <v>9</v>
      </c>
      <c r="G46" t="str">
        <f t="shared" si="0"/>
        <v>340mm-9-40 40 40 30 40 30 40 40 40</v>
      </c>
      <c r="H46">
        <v>40</v>
      </c>
      <c r="I46">
        <v>40</v>
      </c>
      <c r="J46">
        <v>40</v>
      </c>
      <c r="K46">
        <v>30</v>
      </c>
      <c r="L46">
        <v>40</v>
      </c>
      <c r="M46">
        <v>30</v>
      </c>
      <c r="N46">
        <v>40</v>
      </c>
      <c r="O46">
        <v>40</v>
      </c>
      <c r="P46">
        <v>40</v>
      </c>
      <c r="Q46" s="105"/>
      <c r="R46" s="73" t="str">
        <f t="shared" si="1"/>
        <v>404040304030404040</v>
      </c>
    </row>
    <row r="47" spans="3:18" ht="16.5" x14ac:dyDescent="0.25">
      <c r="C47" t="s">
        <v>348</v>
      </c>
      <c r="D47">
        <f>SUM(CLT[[#This Row],[9]:[9'']])</f>
        <v>360</v>
      </c>
      <c r="E47" t="str">
        <f>LEFT(CLT[[#This Row],[Layers (code)]],1)</f>
        <v>9</v>
      </c>
      <c r="F47">
        <v>9</v>
      </c>
      <c r="G47" t="str">
        <f t="shared" si="0"/>
        <v>360mm-9-40 40 40 40 40 40 40 40 40</v>
      </c>
      <c r="H47">
        <v>40</v>
      </c>
      <c r="I47">
        <v>40</v>
      </c>
      <c r="J47">
        <v>40</v>
      </c>
      <c r="K47">
        <v>40</v>
      </c>
      <c r="L47">
        <v>40</v>
      </c>
      <c r="M47">
        <v>40</v>
      </c>
      <c r="N47">
        <v>40</v>
      </c>
      <c r="O47">
        <v>40</v>
      </c>
      <c r="P47">
        <v>40</v>
      </c>
      <c r="Q47" s="105"/>
      <c r="R47" s="73" t="str">
        <f t="shared" si="1"/>
        <v>404040404040404040</v>
      </c>
    </row>
    <row r="48" spans="3:18" ht="15" x14ac:dyDescent="0.25">
      <c r="C48"/>
      <c r="D48"/>
      <c r="E48" t="str">
        <f>LEFT(CLT[[#This Row],[Layers (code)]],1)</f>
        <v/>
      </c>
      <c r="F48"/>
      <c r="G48" t="s">
        <v>685</v>
      </c>
      <c r="H48"/>
      <c r="I48"/>
      <c r="J48"/>
      <c r="K48">
        <v>30</v>
      </c>
      <c r="L48">
        <v>20</v>
      </c>
      <c r="M48">
        <v>30</v>
      </c>
      <c r="N48"/>
      <c r="O48"/>
      <c r="P48"/>
    </row>
    <row r="53" spans="3:16" ht="16.5" hidden="1" x14ac:dyDescent="0.25">
      <c r="C53" s="100"/>
      <c r="D53" s="101"/>
      <c r="E53" s="101"/>
      <c r="F53" s="102"/>
      <c r="G53" s="98"/>
      <c r="H53" s="103"/>
      <c r="I53" s="103"/>
      <c r="J53" s="103"/>
      <c r="K53"/>
      <c r="L53"/>
      <c r="M53" s="104"/>
      <c r="N53" s="104"/>
      <c r="O53" s="104"/>
      <c r="P53" s="98"/>
    </row>
    <row r="54" spans="3:16" ht="16.5" hidden="1" x14ac:dyDescent="0.25">
      <c r="C54" s="100"/>
      <c r="D54" s="101"/>
      <c r="E54" s="101"/>
      <c r="F54" s="102"/>
      <c r="G54" s="98"/>
      <c r="H54" s="103"/>
      <c r="I54" s="103"/>
      <c r="J54" s="103"/>
      <c r="K54"/>
      <c r="L54"/>
      <c r="M54" s="104"/>
      <c r="N54" s="104"/>
      <c r="O54" s="104"/>
      <c r="P54" s="98"/>
    </row>
    <row r="55" spans="3:16" ht="16.5" hidden="1" x14ac:dyDescent="0.25">
      <c r="C55" s="100"/>
      <c r="D55" s="101"/>
      <c r="E55" s="101"/>
      <c r="F55" s="102"/>
      <c r="G55" s="98"/>
      <c r="H55" s="103"/>
      <c r="I55" s="103"/>
      <c r="J55" s="103"/>
      <c r="K55"/>
      <c r="L55"/>
      <c r="M55" s="104"/>
      <c r="N55" s="104"/>
      <c r="O55" s="104"/>
      <c r="P55" s="98"/>
    </row>
    <row r="56" spans="3:16" x14ac:dyDescent="0.2"/>
    <row r="57" spans="3:16" x14ac:dyDescent="0.2"/>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Data">
    <tabColor rgb="FF92D050"/>
  </sheetPr>
  <dimension ref="A2:AF118"/>
  <sheetViews>
    <sheetView showGridLines="0" topLeftCell="A67" zoomScaleNormal="100" workbookViewId="0">
      <selection activeCell="H189" sqref="H189:L197"/>
    </sheetView>
  </sheetViews>
  <sheetFormatPr defaultColWidth="9.140625" defaultRowHeight="12.75" x14ac:dyDescent="0.25"/>
  <cols>
    <col min="1" max="1" width="36" style="121" customWidth="1"/>
    <col min="2" max="8" width="8" style="121" customWidth="1"/>
    <col min="9" max="9" width="15.28515625" style="121" customWidth="1"/>
    <col min="10" max="14" width="8" style="121" customWidth="1"/>
    <col min="15" max="15" width="9.140625" style="121" customWidth="1"/>
    <col min="16" max="16384" width="9.140625" style="121"/>
  </cols>
  <sheetData>
    <row r="2" spans="1:20" x14ac:dyDescent="0.25">
      <c r="A2" s="121" t="s">
        <v>289</v>
      </c>
    </row>
    <row r="3" spans="1:20" ht="24" x14ac:dyDescent="0.25">
      <c r="A3" s="120" t="s">
        <v>22</v>
      </c>
      <c r="B3" s="116" t="s">
        <v>172</v>
      </c>
      <c r="C3" s="116" t="s">
        <v>173</v>
      </c>
      <c r="D3" s="116" t="s">
        <v>174</v>
      </c>
      <c r="E3" s="116" t="s">
        <v>175</v>
      </c>
      <c r="F3" s="116" t="s">
        <v>176</v>
      </c>
      <c r="G3" s="116" t="s">
        <v>177</v>
      </c>
      <c r="H3" s="116" t="s">
        <v>747</v>
      </c>
      <c r="I3" s="116" t="s">
        <v>178</v>
      </c>
      <c r="J3" s="116" t="s">
        <v>180</v>
      </c>
      <c r="K3" s="116" t="s">
        <v>749</v>
      </c>
      <c r="L3" s="116" t="s">
        <v>750</v>
      </c>
      <c r="M3" s="116" t="s">
        <v>179</v>
      </c>
      <c r="N3" s="116" t="s">
        <v>748</v>
      </c>
      <c r="O3" s="116" t="s">
        <v>751</v>
      </c>
      <c r="P3" s="116" t="s">
        <v>752</v>
      </c>
      <c r="Q3" s="116" t="s">
        <v>723</v>
      </c>
      <c r="R3" s="144" t="s">
        <v>744</v>
      </c>
      <c r="S3" s="116" t="s">
        <v>724</v>
      </c>
    </row>
    <row r="4" spans="1:20" ht="15" x14ac:dyDescent="0.25">
      <c r="A4" s="120" t="s">
        <v>295</v>
      </c>
      <c r="B4" s="116">
        <v>20</v>
      </c>
      <c r="C4" s="116">
        <v>16</v>
      </c>
      <c r="D4" s="116">
        <v>0.5</v>
      </c>
      <c r="E4" s="116">
        <v>20</v>
      </c>
      <c r="F4" s="116">
        <v>2.5</v>
      </c>
      <c r="G4" s="116">
        <v>3.5</v>
      </c>
      <c r="H4" s="116">
        <v>1.2</v>
      </c>
      <c r="I4" s="116">
        <v>8400</v>
      </c>
      <c r="J4" s="116">
        <v>7000</v>
      </c>
      <c r="K4" s="116">
        <v>300</v>
      </c>
      <c r="L4" s="116">
        <v>250</v>
      </c>
      <c r="M4" s="116">
        <v>650</v>
      </c>
      <c r="N4" s="116">
        <v>540</v>
      </c>
      <c r="O4" s="116">
        <v>65</v>
      </c>
      <c r="P4" s="116">
        <v>54</v>
      </c>
      <c r="Q4" s="116">
        <v>340</v>
      </c>
      <c r="R4" s="116">
        <v>370</v>
      </c>
      <c r="S4" s="116">
        <f>IF(LEFT(TimberType[[#This Row],[Classe]])="GL",IF(Input!$I$5=RefText_DB!$B$4,1.25,1.45),IF(Input!$I$5=RefText_DB!$B$4,1.3,1.5))</f>
        <v>1.3</v>
      </c>
      <c r="T4"/>
    </row>
    <row r="5" spans="1:20" ht="15" x14ac:dyDescent="0.25">
      <c r="A5" s="120" t="s">
        <v>296</v>
      </c>
      <c r="B5" s="116">
        <v>22</v>
      </c>
      <c r="C5" s="116">
        <v>17.600000000000001</v>
      </c>
      <c r="D5" s="116">
        <v>0.5</v>
      </c>
      <c r="E5" s="116">
        <v>22</v>
      </c>
      <c r="F5" s="116">
        <v>2.5</v>
      </c>
      <c r="G5" s="116">
        <v>3.5</v>
      </c>
      <c r="H5" s="116">
        <v>1.2</v>
      </c>
      <c r="I5" s="116">
        <v>10500</v>
      </c>
      <c r="J5" s="116">
        <v>8800</v>
      </c>
      <c r="K5" s="116">
        <v>300</v>
      </c>
      <c r="L5" s="116">
        <v>250</v>
      </c>
      <c r="M5" s="116">
        <v>650</v>
      </c>
      <c r="N5" s="116">
        <v>540</v>
      </c>
      <c r="O5" s="116">
        <v>65</v>
      </c>
      <c r="P5" s="116">
        <v>54</v>
      </c>
      <c r="Q5" s="116">
        <v>370</v>
      </c>
      <c r="R5" s="116">
        <v>410</v>
      </c>
      <c r="S5" s="116">
        <f>IF(LEFT(TimberType[[#This Row],[Classe]])="GL",IF(Input!$I$5=RefText_DB!$B$4,1.25,1.45),IF(Input!$I$5=RefText_DB!$B$4,1.3,1.5))</f>
        <v>1.3</v>
      </c>
      <c r="T5"/>
    </row>
    <row r="6" spans="1:20" ht="15" x14ac:dyDescent="0.25">
      <c r="A6" s="120" t="s">
        <v>297</v>
      </c>
      <c r="B6" s="116">
        <v>24</v>
      </c>
      <c r="C6" s="116">
        <v>19.2</v>
      </c>
      <c r="D6" s="116">
        <v>0.5</v>
      </c>
      <c r="E6" s="116">
        <v>24</v>
      </c>
      <c r="F6" s="116">
        <v>2.5</v>
      </c>
      <c r="G6" s="116">
        <v>3.5</v>
      </c>
      <c r="H6" s="116">
        <v>1.2</v>
      </c>
      <c r="I6" s="116">
        <v>11500</v>
      </c>
      <c r="J6" s="116">
        <v>9600</v>
      </c>
      <c r="K6" s="116">
        <v>300</v>
      </c>
      <c r="L6" s="116">
        <v>250</v>
      </c>
      <c r="M6" s="116">
        <v>650</v>
      </c>
      <c r="N6" s="116">
        <v>540</v>
      </c>
      <c r="O6" s="116">
        <v>65</v>
      </c>
      <c r="P6" s="116">
        <v>54</v>
      </c>
      <c r="Q6" s="116">
        <v>385</v>
      </c>
      <c r="R6" s="116">
        <v>420</v>
      </c>
      <c r="S6" s="116">
        <f>IF(LEFT(TimberType[[#This Row],[Classe]])="GL",IF(Input!$I$5=RefText_DB!$B$4,1.25,1.45),IF(Input!$I$5=RefText_DB!$B$4,1.3,1.5))</f>
        <v>1.3</v>
      </c>
      <c r="T6"/>
    </row>
    <row r="7" spans="1:20" ht="15" x14ac:dyDescent="0.25">
      <c r="A7" s="120" t="s">
        <v>298</v>
      </c>
      <c r="B7" s="116">
        <v>26</v>
      </c>
      <c r="C7" s="116">
        <v>20.8</v>
      </c>
      <c r="D7" s="116">
        <v>0.5</v>
      </c>
      <c r="E7" s="116">
        <v>26</v>
      </c>
      <c r="F7" s="116">
        <v>2.5</v>
      </c>
      <c r="G7" s="116">
        <v>3.5</v>
      </c>
      <c r="H7" s="116">
        <v>1.2</v>
      </c>
      <c r="I7" s="116">
        <v>12100</v>
      </c>
      <c r="J7" s="116">
        <v>10100</v>
      </c>
      <c r="K7" s="116">
        <v>300</v>
      </c>
      <c r="L7" s="116">
        <v>250</v>
      </c>
      <c r="M7" s="116">
        <v>650</v>
      </c>
      <c r="N7" s="116">
        <v>540</v>
      </c>
      <c r="O7" s="116">
        <v>65</v>
      </c>
      <c r="P7" s="116">
        <v>54</v>
      </c>
      <c r="Q7" s="116">
        <v>405</v>
      </c>
      <c r="R7" s="116">
        <v>445</v>
      </c>
      <c r="S7" s="116">
        <f>IF(LEFT(TimberType[[#This Row],[Classe]])="GL",IF(Input!$I$5=RefText_DB!$B$4,1.25,1.45),IF(Input!$I$5=RefText_DB!$B$4,1.3,1.5))</f>
        <v>1.3</v>
      </c>
      <c r="T7"/>
    </row>
    <row r="8" spans="1:20" ht="15" x14ac:dyDescent="0.25">
      <c r="A8" s="120" t="s">
        <v>299</v>
      </c>
      <c r="B8" s="116">
        <v>28</v>
      </c>
      <c r="C8" s="116">
        <v>22.3</v>
      </c>
      <c r="D8" s="116">
        <v>0.5</v>
      </c>
      <c r="E8" s="116">
        <v>28</v>
      </c>
      <c r="F8" s="116">
        <v>2.5</v>
      </c>
      <c r="G8" s="116">
        <v>3.5</v>
      </c>
      <c r="H8" s="116">
        <v>1.2</v>
      </c>
      <c r="I8" s="116">
        <v>12600</v>
      </c>
      <c r="J8" s="116">
        <v>10500</v>
      </c>
      <c r="K8" s="116">
        <v>300</v>
      </c>
      <c r="L8" s="116">
        <v>250</v>
      </c>
      <c r="M8" s="116">
        <v>650</v>
      </c>
      <c r="N8" s="116">
        <v>540</v>
      </c>
      <c r="O8" s="116">
        <v>65</v>
      </c>
      <c r="P8" s="116">
        <v>54</v>
      </c>
      <c r="Q8" s="116">
        <v>425</v>
      </c>
      <c r="R8" s="116">
        <v>460</v>
      </c>
      <c r="S8" s="116">
        <f>IF(LEFT(TimberType[[#This Row],[Classe]])="GL",IF(Input!$I$5=RefText_DB!$B$4,1.25,1.45),IF(Input!$I$5=RefText_DB!$B$4,1.3,1.5))</f>
        <v>1.3</v>
      </c>
      <c r="T8"/>
    </row>
    <row r="9" spans="1:20" ht="15" x14ac:dyDescent="0.25">
      <c r="A9" s="120" t="s">
        <v>300</v>
      </c>
      <c r="B9" s="116">
        <v>30</v>
      </c>
      <c r="C9" s="116">
        <v>24</v>
      </c>
      <c r="D9" s="116">
        <v>0.5</v>
      </c>
      <c r="E9" s="116">
        <v>30</v>
      </c>
      <c r="F9" s="116">
        <v>2.5</v>
      </c>
      <c r="G9" s="116">
        <v>3.5</v>
      </c>
      <c r="H9" s="116">
        <v>1.2</v>
      </c>
      <c r="I9" s="116">
        <v>13600</v>
      </c>
      <c r="J9" s="116">
        <v>11300</v>
      </c>
      <c r="K9" s="116">
        <v>300</v>
      </c>
      <c r="L9" s="116">
        <v>250</v>
      </c>
      <c r="M9" s="116">
        <v>650</v>
      </c>
      <c r="N9" s="116">
        <v>540</v>
      </c>
      <c r="O9" s="116">
        <v>65</v>
      </c>
      <c r="P9" s="116">
        <v>54</v>
      </c>
      <c r="Q9" s="116">
        <v>430</v>
      </c>
      <c r="R9" s="116">
        <v>480</v>
      </c>
      <c r="S9" s="116">
        <f>IF(LEFT(TimberType[[#This Row],[Classe]])="GL",IF(Input!$I$5=RefText_DB!$B$4,1.25,1.45),IF(Input!$I$5=RefText_DB!$B$4,1.3,1.5))</f>
        <v>1.3</v>
      </c>
      <c r="T9"/>
    </row>
    <row r="10" spans="1:20" ht="15" x14ac:dyDescent="0.25">
      <c r="A10" s="120" t="s">
        <v>301</v>
      </c>
      <c r="B10" s="116">
        <v>32</v>
      </c>
      <c r="C10" s="116">
        <v>25.6</v>
      </c>
      <c r="D10" s="116">
        <v>0.5</v>
      </c>
      <c r="E10" s="116">
        <v>32</v>
      </c>
      <c r="F10" s="116">
        <v>2.5</v>
      </c>
      <c r="G10" s="116">
        <v>3.5</v>
      </c>
      <c r="H10" s="116">
        <v>1.2</v>
      </c>
      <c r="I10" s="116">
        <v>14200</v>
      </c>
      <c r="J10" s="116">
        <v>11800</v>
      </c>
      <c r="K10" s="116">
        <v>300</v>
      </c>
      <c r="L10" s="116">
        <v>250</v>
      </c>
      <c r="M10" s="116">
        <v>650</v>
      </c>
      <c r="N10" s="116">
        <v>540</v>
      </c>
      <c r="O10" s="116">
        <v>65</v>
      </c>
      <c r="P10" s="116">
        <v>54</v>
      </c>
      <c r="Q10" s="116">
        <v>440</v>
      </c>
      <c r="R10" s="116">
        <v>490</v>
      </c>
      <c r="S10" s="116">
        <f>IF(LEFT(TimberType[[#This Row],[Classe]])="GL",IF(Input!$I$5=RefText_DB!$B$4,1.25,1.45),IF(Input!$I$5=RefText_DB!$B$4,1.3,1.5))</f>
        <v>1.3</v>
      </c>
      <c r="T10"/>
    </row>
    <row r="11" spans="1:20" ht="15" x14ac:dyDescent="0.25">
      <c r="A11" s="120" t="s">
        <v>302</v>
      </c>
      <c r="B11" s="116">
        <v>20</v>
      </c>
      <c r="C11" s="116">
        <v>15</v>
      </c>
      <c r="D11" s="116">
        <v>0.5</v>
      </c>
      <c r="E11" s="116">
        <v>18.5</v>
      </c>
      <c r="F11" s="116">
        <v>2.5</v>
      </c>
      <c r="G11" s="116">
        <v>3.5</v>
      </c>
      <c r="H11" s="116">
        <v>1.2</v>
      </c>
      <c r="I11" s="116">
        <v>10400</v>
      </c>
      <c r="J11" s="116">
        <v>8600</v>
      </c>
      <c r="K11" s="116">
        <v>300</v>
      </c>
      <c r="L11" s="116">
        <v>250</v>
      </c>
      <c r="M11" s="116">
        <v>650</v>
      </c>
      <c r="N11" s="116">
        <v>540</v>
      </c>
      <c r="O11" s="116">
        <v>65</v>
      </c>
      <c r="P11" s="116">
        <v>54</v>
      </c>
      <c r="Q11" s="116">
        <v>355</v>
      </c>
      <c r="R11" s="116">
        <v>390</v>
      </c>
      <c r="S11" s="116">
        <f>IF(LEFT(TimberType[[#This Row],[Classe]])="GL",IF(Input!$I$5=RefText_DB!$B$4,1.25,1.45),IF(Input!$I$5=RefText_DB!$B$4,1.3,1.5))</f>
        <v>1.3</v>
      </c>
      <c r="T11"/>
    </row>
    <row r="12" spans="1:20" ht="15" x14ac:dyDescent="0.25">
      <c r="A12" s="120" t="s">
        <v>303</v>
      </c>
      <c r="B12" s="116">
        <v>22</v>
      </c>
      <c r="C12" s="116">
        <v>16</v>
      </c>
      <c r="D12" s="116">
        <v>0.5</v>
      </c>
      <c r="E12" s="116">
        <v>20</v>
      </c>
      <c r="F12" s="116">
        <v>2.5</v>
      </c>
      <c r="G12" s="116">
        <v>3.5</v>
      </c>
      <c r="H12" s="116">
        <v>1.2</v>
      </c>
      <c r="I12" s="116">
        <v>10400</v>
      </c>
      <c r="J12" s="116">
        <v>8600</v>
      </c>
      <c r="K12" s="116">
        <v>300</v>
      </c>
      <c r="L12" s="116">
        <v>250</v>
      </c>
      <c r="M12" s="116">
        <v>650</v>
      </c>
      <c r="N12" s="116">
        <v>540</v>
      </c>
      <c r="O12" s="116">
        <v>65</v>
      </c>
      <c r="P12" s="116">
        <v>54</v>
      </c>
      <c r="Q12" s="116">
        <v>355</v>
      </c>
      <c r="R12" s="116">
        <v>390</v>
      </c>
      <c r="S12" s="116">
        <f>IF(LEFT(TimberType[[#This Row],[Classe]])="GL",IF(Input!$I$5=RefText_DB!$B$4,1.25,1.45),IF(Input!$I$5=RefText_DB!$B$4,1.3,1.5))</f>
        <v>1.3</v>
      </c>
      <c r="T12"/>
    </row>
    <row r="13" spans="1:20" ht="15" x14ac:dyDescent="0.25">
      <c r="A13" s="120" t="s">
        <v>304</v>
      </c>
      <c r="B13" s="116">
        <v>24</v>
      </c>
      <c r="C13" s="116">
        <v>17</v>
      </c>
      <c r="D13" s="116">
        <v>0.5</v>
      </c>
      <c r="E13" s="116">
        <v>21.5</v>
      </c>
      <c r="F13" s="116">
        <v>2.5</v>
      </c>
      <c r="G13" s="116">
        <v>3.5</v>
      </c>
      <c r="H13" s="116">
        <v>1.2</v>
      </c>
      <c r="I13" s="116">
        <v>11000</v>
      </c>
      <c r="J13" s="116">
        <v>9100</v>
      </c>
      <c r="K13" s="116">
        <v>300</v>
      </c>
      <c r="L13" s="116">
        <v>250</v>
      </c>
      <c r="M13" s="116">
        <v>650</v>
      </c>
      <c r="N13" s="116">
        <v>540</v>
      </c>
      <c r="O13" s="116">
        <v>65</v>
      </c>
      <c r="P13" s="116">
        <v>54</v>
      </c>
      <c r="Q13" s="116">
        <v>365</v>
      </c>
      <c r="R13" s="116">
        <v>400</v>
      </c>
      <c r="S13" s="116">
        <f>IF(LEFT(TimberType[[#This Row],[Classe]])="GL",IF(Input!$I$5=RefText_DB!$B$4,1.25,1.45),IF(Input!$I$5=RefText_DB!$B$4,1.3,1.5))</f>
        <v>1.3</v>
      </c>
      <c r="T13"/>
    </row>
    <row r="14" spans="1:20" ht="15" x14ac:dyDescent="0.25">
      <c r="A14" s="120" t="s">
        <v>305</v>
      </c>
      <c r="B14" s="116">
        <v>26</v>
      </c>
      <c r="C14" s="116">
        <v>19</v>
      </c>
      <c r="D14" s="116">
        <v>0.5</v>
      </c>
      <c r="E14" s="116">
        <v>23.5</v>
      </c>
      <c r="F14" s="116">
        <v>2.5</v>
      </c>
      <c r="G14" s="116">
        <v>3.5</v>
      </c>
      <c r="H14" s="116">
        <v>1.2</v>
      </c>
      <c r="I14" s="116">
        <v>12000</v>
      </c>
      <c r="J14" s="116">
        <v>10000</v>
      </c>
      <c r="K14" s="116">
        <v>300</v>
      </c>
      <c r="L14" s="116">
        <v>250</v>
      </c>
      <c r="M14" s="116">
        <v>650</v>
      </c>
      <c r="N14" s="116">
        <v>540</v>
      </c>
      <c r="O14" s="116">
        <v>65</v>
      </c>
      <c r="P14" s="116">
        <v>54</v>
      </c>
      <c r="Q14" s="116">
        <v>385</v>
      </c>
      <c r="R14" s="116">
        <v>420</v>
      </c>
      <c r="S14" s="116">
        <f>IF(LEFT(TimberType[[#This Row],[Classe]])="GL",IF(Input!$I$5=RefText_DB!$B$4,1.25,1.45),IF(Input!$I$5=RefText_DB!$B$4,1.3,1.5))</f>
        <v>1.3</v>
      </c>
      <c r="T14"/>
    </row>
    <row r="15" spans="1:20" ht="15" x14ac:dyDescent="0.25">
      <c r="A15" s="120" t="s">
        <v>306</v>
      </c>
      <c r="B15" s="116">
        <v>28</v>
      </c>
      <c r="C15" s="116">
        <v>19.5</v>
      </c>
      <c r="D15" s="116">
        <v>0.5</v>
      </c>
      <c r="E15" s="116">
        <v>24</v>
      </c>
      <c r="F15" s="116">
        <v>2.5</v>
      </c>
      <c r="G15" s="116">
        <v>3.5</v>
      </c>
      <c r="H15" s="116">
        <v>1.2</v>
      </c>
      <c r="I15" s="116">
        <v>12500</v>
      </c>
      <c r="J15" s="116">
        <v>10400</v>
      </c>
      <c r="K15" s="116">
        <v>300</v>
      </c>
      <c r="L15" s="116">
        <v>250</v>
      </c>
      <c r="M15" s="116">
        <v>650</v>
      </c>
      <c r="N15" s="116">
        <v>540</v>
      </c>
      <c r="O15" s="116">
        <v>65</v>
      </c>
      <c r="P15" s="116">
        <v>54</v>
      </c>
      <c r="Q15" s="116">
        <v>390</v>
      </c>
      <c r="R15" s="116">
        <v>420</v>
      </c>
      <c r="S15" s="116">
        <f>IF(LEFT(TimberType[[#This Row],[Classe]])="GL",IF(Input!$I$5=RefText_DB!$B$4,1.25,1.45),IF(Input!$I$5=RefText_DB!$B$4,1.3,1.5))</f>
        <v>1.3</v>
      </c>
      <c r="T15"/>
    </row>
    <row r="16" spans="1:20" ht="15" x14ac:dyDescent="0.25">
      <c r="A16" s="120" t="s">
        <v>307</v>
      </c>
      <c r="B16" s="116">
        <v>30</v>
      </c>
      <c r="C16" s="116">
        <v>19.5</v>
      </c>
      <c r="D16" s="116">
        <v>0.5</v>
      </c>
      <c r="E16" s="116">
        <v>24.5</v>
      </c>
      <c r="F16" s="116">
        <v>2.5</v>
      </c>
      <c r="G16" s="116">
        <v>3.5</v>
      </c>
      <c r="H16" s="116">
        <v>1.2</v>
      </c>
      <c r="I16" s="116">
        <v>13000</v>
      </c>
      <c r="J16" s="116">
        <v>10800</v>
      </c>
      <c r="K16" s="116">
        <v>300</v>
      </c>
      <c r="L16" s="116">
        <v>250</v>
      </c>
      <c r="M16" s="116">
        <v>650</v>
      </c>
      <c r="N16" s="116">
        <v>540</v>
      </c>
      <c r="O16" s="116">
        <v>65</v>
      </c>
      <c r="P16" s="116">
        <v>54</v>
      </c>
      <c r="Q16" s="116">
        <v>390</v>
      </c>
      <c r="R16" s="116">
        <v>430</v>
      </c>
      <c r="S16" s="116">
        <f>IF(LEFT(TimberType[[#This Row],[Classe]])="GL",IF(Input!$I$5=RefText_DB!$B$4,1.25,1.45),IF(Input!$I$5=RefText_DB!$B$4,1.3,1.5))</f>
        <v>1.3</v>
      </c>
      <c r="T16"/>
    </row>
    <row r="17" spans="1:20" ht="15" x14ac:dyDescent="0.25">
      <c r="A17" s="120" t="s">
        <v>308</v>
      </c>
      <c r="B17" s="116">
        <v>32</v>
      </c>
      <c r="C17" s="116">
        <v>19.5</v>
      </c>
      <c r="D17" s="116">
        <v>0.5</v>
      </c>
      <c r="E17" s="116">
        <v>24.5</v>
      </c>
      <c r="F17" s="116">
        <v>2.5</v>
      </c>
      <c r="G17" s="116">
        <v>3.5</v>
      </c>
      <c r="H17" s="116">
        <v>1.2</v>
      </c>
      <c r="I17" s="116">
        <v>13500</v>
      </c>
      <c r="J17" s="116">
        <v>11200</v>
      </c>
      <c r="K17" s="116">
        <v>300</v>
      </c>
      <c r="L17" s="116">
        <v>250</v>
      </c>
      <c r="M17" s="116">
        <v>650</v>
      </c>
      <c r="N17" s="116">
        <v>540</v>
      </c>
      <c r="O17" s="116">
        <v>65</v>
      </c>
      <c r="P17" s="116">
        <v>54</v>
      </c>
      <c r="Q17" s="116">
        <v>400</v>
      </c>
      <c r="R17" s="116">
        <v>440</v>
      </c>
      <c r="S17" s="116">
        <f>IF(LEFT(TimberType[[#This Row],[Classe]])="GL",IF(Input!$I$5=RefText_DB!$B$4,1.25,1.45),IF(Input!$I$5=RefText_DB!$B$4,1.3,1.5))</f>
        <v>1.3</v>
      </c>
      <c r="T17"/>
    </row>
    <row r="18" spans="1:20" ht="15" x14ac:dyDescent="0.25">
      <c r="A18" s="120" t="s">
        <v>309</v>
      </c>
      <c r="B18" s="116">
        <v>18</v>
      </c>
      <c r="C18" s="116">
        <v>10</v>
      </c>
      <c r="D18" s="116">
        <v>0.4</v>
      </c>
      <c r="E18" s="116">
        <v>18</v>
      </c>
      <c r="F18" s="116">
        <v>2.2000000000000002</v>
      </c>
      <c r="G18" s="116">
        <v>3.4</v>
      </c>
      <c r="H18" s="116">
        <v>1.2</v>
      </c>
      <c r="I18" s="116">
        <v>9000</v>
      </c>
      <c r="J18" s="116">
        <v>6000</v>
      </c>
      <c r="K18" s="116"/>
      <c r="L18" s="116"/>
      <c r="M18" s="116">
        <v>560</v>
      </c>
      <c r="N18" s="116"/>
      <c r="O18" s="116"/>
      <c r="P18" s="116"/>
      <c r="Q18" s="116">
        <v>320</v>
      </c>
      <c r="R18" s="116">
        <v>380</v>
      </c>
      <c r="S18" s="116">
        <f>IF(LEFT(TimberType[[#This Row],[Classe]])="GL",IF(Input!$I$5=RefText_DB!$B$4,1.25,1.45),IF(Input!$I$5=RefText_DB!$B$4,1.3,1.5))</f>
        <v>1.3</v>
      </c>
      <c r="T18"/>
    </row>
    <row r="19" spans="1:20" ht="15" x14ac:dyDescent="0.25">
      <c r="A19" s="120" t="s">
        <v>310</v>
      </c>
      <c r="B19" s="116">
        <v>20</v>
      </c>
      <c r="C19" s="116">
        <v>11.5</v>
      </c>
      <c r="D19" s="116">
        <v>0.4</v>
      </c>
      <c r="E19" s="116">
        <v>19</v>
      </c>
      <c r="F19" s="116">
        <v>2.2999999999999998</v>
      </c>
      <c r="G19" s="116">
        <v>3.6</v>
      </c>
      <c r="H19" s="116">
        <v>1.2</v>
      </c>
      <c r="I19" s="116">
        <v>9500</v>
      </c>
      <c r="J19" s="116">
        <v>6400</v>
      </c>
      <c r="K19" s="116"/>
      <c r="L19" s="116"/>
      <c r="M19" s="116">
        <v>590</v>
      </c>
      <c r="N19" s="116"/>
      <c r="O19" s="116"/>
      <c r="P19" s="116"/>
      <c r="Q19" s="116">
        <v>330</v>
      </c>
      <c r="R19" s="116">
        <v>400</v>
      </c>
      <c r="S19" s="116">
        <f>IF(LEFT(TimberType[[#This Row],[Classe]])="GL",IF(Input!$I$5=RefText_DB!$B$4,1.25,1.45),IF(Input!$I$5=RefText_DB!$B$4,1.3,1.5))</f>
        <v>1.3</v>
      </c>
      <c r="T19"/>
    </row>
    <row r="20" spans="1:20" ht="15" x14ac:dyDescent="0.25">
      <c r="A20" s="120" t="s">
        <v>311</v>
      </c>
      <c r="B20" s="116">
        <v>22</v>
      </c>
      <c r="C20" s="116">
        <v>13</v>
      </c>
      <c r="D20" s="116">
        <v>0.4</v>
      </c>
      <c r="E20" s="116">
        <v>20</v>
      </c>
      <c r="F20" s="116">
        <v>2.4</v>
      </c>
      <c r="G20" s="116">
        <v>3.8</v>
      </c>
      <c r="H20" s="116">
        <v>1.2</v>
      </c>
      <c r="I20" s="116">
        <v>10000</v>
      </c>
      <c r="J20" s="116">
        <v>6700</v>
      </c>
      <c r="K20" s="116"/>
      <c r="L20" s="116"/>
      <c r="M20" s="116">
        <v>630</v>
      </c>
      <c r="N20" s="116"/>
      <c r="O20" s="116"/>
      <c r="P20" s="116"/>
      <c r="Q20" s="116">
        <v>340</v>
      </c>
      <c r="R20" s="116">
        <v>410</v>
      </c>
      <c r="S20" s="116">
        <f>IF(LEFT(TimberType[[#This Row],[Classe]])="GL",IF(Input!$I$5=RefText_DB!$B$4,1.25,1.45),IF(Input!$I$5=RefText_DB!$B$4,1.3,1.5))</f>
        <v>1.3</v>
      </c>
      <c r="T20"/>
    </row>
    <row r="21" spans="1:20" ht="15" x14ac:dyDescent="0.25">
      <c r="A21" s="120" t="s">
        <v>312</v>
      </c>
      <c r="B21" s="116">
        <v>24</v>
      </c>
      <c r="C21" s="116">
        <v>14.5</v>
      </c>
      <c r="D21" s="116">
        <v>0.4</v>
      </c>
      <c r="E21" s="116">
        <v>21</v>
      </c>
      <c r="F21" s="116">
        <v>2.5</v>
      </c>
      <c r="G21" s="116">
        <v>4</v>
      </c>
      <c r="H21" s="116">
        <v>1.2</v>
      </c>
      <c r="I21" s="116">
        <v>11000</v>
      </c>
      <c r="J21" s="116">
        <v>7400</v>
      </c>
      <c r="K21" s="116">
        <v>370</v>
      </c>
      <c r="L21" s="116"/>
      <c r="M21" s="116">
        <v>690</v>
      </c>
      <c r="N21" s="116"/>
      <c r="O21" s="116"/>
      <c r="P21" s="116"/>
      <c r="Q21" s="116">
        <v>350</v>
      </c>
      <c r="R21" s="116">
        <v>420</v>
      </c>
      <c r="S21" s="116">
        <f>IF(LEFT(TimberType[[#This Row],[Classe]])="GL",IF(Input!$I$5=RefText_DB!$B$4,1.25,1.45),IF(Input!$I$5=RefText_DB!$B$4,1.3,1.5))</f>
        <v>1.3</v>
      </c>
      <c r="T21"/>
    </row>
    <row r="22" spans="1:20" ht="15" x14ac:dyDescent="0.25">
      <c r="A22" s="120" t="s">
        <v>313</v>
      </c>
      <c r="B22" s="116">
        <v>27</v>
      </c>
      <c r="C22" s="116">
        <v>16.5</v>
      </c>
      <c r="D22" s="116">
        <v>0.4</v>
      </c>
      <c r="E22" s="116">
        <v>22</v>
      </c>
      <c r="F22" s="116">
        <v>2.5</v>
      </c>
      <c r="G22" s="116">
        <v>4</v>
      </c>
      <c r="H22" s="116">
        <v>1.2</v>
      </c>
      <c r="I22" s="116">
        <v>11500</v>
      </c>
      <c r="J22" s="116">
        <v>7700</v>
      </c>
      <c r="K22" s="116"/>
      <c r="L22" s="116"/>
      <c r="M22" s="116">
        <v>720</v>
      </c>
      <c r="N22" s="116"/>
      <c r="O22" s="116"/>
      <c r="P22" s="116"/>
      <c r="Q22" s="116">
        <v>360</v>
      </c>
      <c r="R22" s="116">
        <v>430</v>
      </c>
      <c r="S22" s="116">
        <f>IF(LEFT(TimberType[[#This Row],[Classe]])="GL",IF(Input!$I$5=RefText_DB!$B$4,1.25,1.45),IF(Input!$I$5=RefText_DB!$B$4,1.3,1.5))</f>
        <v>1.3</v>
      </c>
      <c r="T22"/>
    </row>
    <row r="23" spans="1:20" ht="15" x14ac:dyDescent="0.25">
      <c r="A23" s="120" t="s">
        <v>314</v>
      </c>
      <c r="B23" s="116">
        <v>30</v>
      </c>
      <c r="C23" s="116">
        <v>19</v>
      </c>
      <c r="D23" s="116">
        <v>0.4</v>
      </c>
      <c r="E23" s="116">
        <v>24</v>
      </c>
      <c r="F23" s="116">
        <v>2.7</v>
      </c>
      <c r="G23" s="116">
        <v>4</v>
      </c>
      <c r="H23" s="116">
        <v>1.2</v>
      </c>
      <c r="I23" s="116">
        <v>12000</v>
      </c>
      <c r="J23" s="116">
        <v>8000</v>
      </c>
      <c r="K23" s="116">
        <v>400</v>
      </c>
      <c r="L23" s="116"/>
      <c r="M23" s="116">
        <v>750</v>
      </c>
      <c r="N23" s="116"/>
      <c r="O23" s="116"/>
      <c r="P23" s="116"/>
      <c r="Q23" s="116">
        <v>380</v>
      </c>
      <c r="R23" s="116">
        <v>460</v>
      </c>
      <c r="S23" s="116">
        <f>IF(LEFT(TimberType[[#This Row],[Classe]])="GL",IF(Input!$I$5=RefText_DB!$B$4,1.25,1.45),IF(Input!$I$5=RefText_DB!$B$4,1.3,1.5))</f>
        <v>1.3</v>
      </c>
      <c r="T23"/>
    </row>
    <row r="24" spans="1:20" ht="15" x14ac:dyDescent="0.25">
      <c r="A24" s="120" t="s">
        <v>315</v>
      </c>
      <c r="B24" s="116">
        <v>24</v>
      </c>
      <c r="C24" s="116">
        <v>14</v>
      </c>
      <c r="D24" s="116">
        <v>0.6</v>
      </c>
      <c r="E24" s="116">
        <v>21</v>
      </c>
      <c r="F24" s="116">
        <v>4.9000000000000004</v>
      </c>
      <c r="G24" s="116">
        <v>3.7</v>
      </c>
      <c r="H24" s="116">
        <v>1.2</v>
      </c>
      <c r="I24" s="116">
        <v>10000</v>
      </c>
      <c r="J24" s="116">
        <v>8400</v>
      </c>
      <c r="K24" s="116"/>
      <c r="L24" s="116"/>
      <c r="M24" s="116">
        <v>630</v>
      </c>
      <c r="N24" s="116"/>
      <c r="O24" s="116"/>
      <c r="P24" s="116"/>
      <c r="Q24" s="116">
        <v>485</v>
      </c>
      <c r="R24" s="116">
        <v>580</v>
      </c>
      <c r="S24" s="116">
        <f>IF(LEFT(TimberType[[#This Row],[Classe]])="GL",IF(Input!$I$5=RefText_DB!$B$4,1.25,1.45),IF(Input!$I$5=RefText_DB!$B$4,1.3,1.5))</f>
        <v>1.3</v>
      </c>
      <c r="T24"/>
    </row>
    <row r="25" spans="1:20" ht="15" x14ac:dyDescent="0.25">
      <c r="A25" s="120" t="s">
        <v>316</v>
      </c>
      <c r="B25" s="116">
        <v>30</v>
      </c>
      <c r="C25" s="116">
        <v>18</v>
      </c>
      <c r="D25" s="116">
        <v>0.6</v>
      </c>
      <c r="E25" s="116">
        <v>24</v>
      </c>
      <c r="F25" s="116">
        <v>5.3</v>
      </c>
      <c r="G25" s="116">
        <v>3.9</v>
      </c>
      <c r="H25" s="116">
        <v>1.2</v>
      </c>
      <c r="I25" s="116">
        <v>11000</v>
      </c>
      <c r="J25" s="116">
        <v>9200</v>
      </c>
      <c r="K25" s="116"/>
      <c r="L25" s="116"/>
      <c r="M25" s="116">
        <v>690</v>
      </c>
      <c r="N25" s="116"/>
      <c r="O25" s="116"/>
      <c r="P25" s="116"/>
      <c r="Q25" s="116">
        <v>530</v>
      </c>
      <c r="R25" s="116">
        <v>640</v>
      </c>
      <c r="S25" s="116">
        <f>IF(LEFT(TimberType[[#This Row],[Classe]])="GL",IF(Input!$I$5=RefText_DB!$B$4,1.25,1.45),IF(Input!$I$5=RefText_DB!$B$4,1.3,1.5))</f>
        <v>1.3</v>
      </c>
      <c r="T25"/>
    </row>
    <row r="26" spans="1:20" ht="15" x14ac:dyDescent="0.25">
      <c r="A26" s="120" t="s">
        <v>181</v>
      </c>
      <c r="B26" s="116">
        <v>28</v>
      </c>
      <c r="C26" s="116">
        <v>17</v>
      </c>
      <c r="D26" s="116">
        <v>0.5</v>
      </c>
      <c r="E26" s="116">
        <v>22</v>
      </c>
      <c r="F26" s="116">
        <v>3.8</v>
      </c>
      <c r="G26" s="116">
        <v>2</v>
      </c>
      <c r="H26" s="116">
        <v>1.2</v>
      </c>
      <c r="I26" s="116">
        <v>11000</v>
      </c>
      <c r="J26" s="116">
        <v>8000</v>
      </c>
      <c r="K26" s="116"/>
      <c r="L26" s="116"/>
      <c r="M26" s="116">
        <v>950</v>
      </c>
      <c r="N26" s="116"/>
      <c r="O26" s="116"/>
      <c r="P26" s="116"/>
      <c r="Q26" s="116">
        <v>465</v>
      </c>
      <c r="R26" s="116">
        <v>550</v>
      </c>
      <c r="S26" s="116">
        <f>IF(LEFT(TimberType[[#This Row],[Classe]])="GL",IF(Input!$I$5=RefText_DB!$B$4,1.25,1.45),IF(Input!$I$5=RefText_DB!$B$4,1.3,1.5))</f>
        <v>1.3</v>
      </c>
      <c r="T26"/>
    </row>
    <row r="27" spans="1:20" ht="15" x14ac:dyDescent="0.25">
      <c r="A27" s="120" t="s">
        <v>182</v>
      </c>
      <c r="B27" s="116">
        <v>42</v>
      </c>
      <c r="C27" s="116">
        <v>25</v>
      </c>
      <c r="D27" s="116">
        <v>0.8</v>
      </c>
      <c r="E27" s="116">
        <v>27</v>
      </c>
      <c r="F27" s="116">
        <v>5.7</v>
      </c>
      <c r="G27" s="116">
        <v>4</v>
      </c>
      <c r="H27" s="116">
        <v>1.2</v>
      </c>
      <c r="I27" s="116">
        <v>12000</v>
      </c>
      <c r="J27" s="116">
        <v>10100</v>
      </c>
      <c r="K27" s="116"/>
      <c r="L27" s="116"/>
      <c r="M27" s="116">
        <v>750</v>
      </c>
      <c r="N27" s="116"/>
      <c r="O27" s="116"/>
      <c r="P27" s="116"/>
      <c r="Q27" s="116">
        <v>760</v>
      </c>
      <c r="R27" s="116">
        <v>825</v>
      </c>
      <c r="S27" s="116">
        <f>IF(LEFT(TimberType[[#This Row],[Classe]])="GL",IF(Input!$I$5=RefText_DB!$B$4,1.25,1.45),IF(Input!$I$5=RefText_DB!$B$4,1.3,1.5))</f>
        <v>1.3</v>
      </c>
      <c r="T27"/>
    </row>
    <row r="28" spans="1:20" ht="15" x14ac:dyDescent="0.25">
      <c r="A28" s="120" t="s">
        <v>183</v>
      </c>
      <c r="B28" s="116">
        <v>26</v>
      </c>
      <c r="C28" s="116">
        <v>16</v>
      </c>
      <c r="D28" s="116">
        <v>0.4</v>
      </c>
      <c r="E28" s="116">
        <v>22</v>
      </c>
      <c r="F28" s="116">
        <v>3.2</v>
      </c>
      <c r="G28" s="116">
        <v>2.7</v>
      </c>
      <c r="H28" s="116">
        <v>1.2</v>
      </c>
      <c r="I28" s="116">
        <v>8000</v>
      </c>
      <c r="J28" s="116">
        <v>6700</v>
      </c>
      <c r="K28" s="116"/>
      <c r="L28" s="116"/>
      <c r="M28" s="116">
        <v>500</v>
      </c>
      <c r="N28" s="116"/>
      <c r="O28" s="116"/>
      <c r="P28" s="116"/>
      <c r="Q28" s="116">
        <v>420</v>
      </c>
      <c r="R28" s="116">
        <v>460</v>
      </c>
      <c r="S28" s="116">
        <f>IF(LEFT(TimberType[[#This Row],[Classe]])="GL",IF(Input!$I$5=RefText_DB!$B$4,1.25,1.45),IF(Input!$I$5=RefText_DB!$B$4,1.3,1.5))</f>
        <v>1.3</v>
      </c>
      <c r="T28"/>
    </row>
    <row r="29" spans="1:20" ht="15" x14ac:dyDescent="0.25">
      <c r="A29" s="120" t="s">
        <v>184</v>
      </c>
      <c r="B29" s="116">
        <v>27</v>
      </c>
      <c r="C29" s="116">
        <v>16</v>
      </c>
      <c r="D29" s="116">
        <v>0.5</v>
      </c>
      <c r="E29" s="116">
        <v>22</v>
      </c>
      <c r="F29" s="116">
        <v>3.9</v>
      </c>
      <c r="G29" s="116">
        <v>2</v>
      </c>
      <c r="H29" s="116">
        <v>1.2</v>
      </c>
      <c r="I29" s="116">
        <v>11500</v>
      </c>
      <c r="J29" s="116">
        <v>8400</v>
      </c>
      <c r="K29" s="116"/>
      <c r="L29" s="116"/>
      <c r="M29" s="116">
        <v>720</v>
      </c>
      <c r="N29" s="116"/>
      <c r="O29" s="116"/>
      <c r="P29" s="116"/>
      <c r="Q29" s="116">
        <v>515</v>
      </c>
      <c r="R29" s="116">
        <v>560</v>
      </c>
      <c r="S29" s="116">
        <f>IF(LEFT(TimberType[[#This Row],[Classe]])="GL",IF(Input!$I$5=RefText_DB!$B$4,1.25,1.45),IF(Input!$I$5=RefText_DB!$B$4,1.3,1.5))</f>
        <v>1.3</v>
      </c>
      <c r="T29"/>
    </row>
    <row r="30" spans="1:20" ht="15" x14ac:dyDescent="0.25">
      <c r="A30" s="120" t="s">
        <v>185</v>
      </c>
      <c r="B30" s="116">
        <v>29</v>
      </c>
      <c r="C30" s="116">
        <v>17</v>
      </c>
      <c r="D30" s="116">
        <v>0.4</v>
      </c>
      <c r="E30" s="116">
        <v>23</v>
      </c>
      <c r="F30" s="116">
        <v>2.9</v>
      </c>
      <c r="G30" s="116">
        <v>3</v>
      </c>
      <c r="H30" s="116">
        <v>1.2</v>
      </c>
      <c r="I30" s="116">
        <v>12000</v>
      </c>
      <c r="J30" s="116">
        <v>8000</v>
      </c>
      <c r="K30" s="116"/>
      <c r="L30" s="116"/>
      <c r="M30" s="116">
        <v>750</v>
      </c>
      <c r="N30" s="116"/>
      <c r="O30" s="116"/>
      <c r="P30" s="116"/>
      <c r="Q30" s="116">
        <v>380</v>
      </c>
      <c r="R30" s="116">
        <v>415</v>
      </c>
      <c r="S30" s="116">
        <f>IF(LEFT(TimberType[[#This Row],[Classe]])="GL",IF(Input!$I$5=RefText_DB!$B$4,1.25,1.45),IF(Input!$I$5=RefText_DB!$B$4,1.3,1.5))</f>
        <v>1.3</v>
      </c>
      <c r="T30"/>
    </row>
    <row r="31" spans="1:20" ht="15" x14ac:dyDescent="0.25">
      <c r="A31" s="120" t="s">
        <v>186</v>
      </c>
      <c r="B31" s="116">
        <v>23</v>
      </c>
      <c r="C31" s="116">
        <v>14</v>
      </c>
      <c r="D31" s="116">
        <v>0.4</v>
      </c>
      <c r="E31" s="116">
        <v>20</v>
      </c>
      <c r="F31" s="116">
        <v>2.9</v>
      </c>
      <c r="G31" s="116">
        <v>2.5</v>
      </c>
      <c r="H31" s="116">
        <v>1.2</v>
      </c>
      <c r="I31" s="116">
        <v>10500</v>
      </c>
      <c r="J31" s="116">
        <v>7000</v>
      </c>
      <c r="K31" s="116"/>
      <c r="L31" s="116"/>
      <c r="M31" s="116">
        <v>660</v>
      </c>
      <c r="N31" s="116"/>
      <c r="O31" s="116"/>
      <c r="P31" s="116"/>
      <c r="Q31" s="116">
        <v>380</v>
      </c>
      <c r="R31" s="116">
        <v>415</v>
      </c>
      <c r="S31" s="116">
        <f>IF(LEFT(TimberType[[#This Row],[Classe]])="GL",IF(Input!$I$5=RefText_DB!$B$4,1.25,1.45),IF(Input!$I$5=RefText_DB!$B$4,1.3,1.5))</f>
        <v>1.3</v>
      </c>
      <c r="T31"/>
    </row>
    <row r="32" spans="1:20" ht="15" x14ac:dyDescent="0.25">
      <c r="A32" s="120" t="s">
        <v>187</v>
      </c>
      <c r="B32" s="116">
        <v>17</v>
      </c>
      <c r="C32" s="116">
        <v>10</v>
      </c>
      <c r="D32" s="116">
        <v>0.4</v>
      </c>
      <c r="E32" s="116">
        <v>18</v>
      </c>
      <c r="F32" s="116">
        <v>2.9</v>
      </c>
      <c r="G32" s="116">
        <v>1.9</v>
      </c>
      <c r="H32" s="116">
        <v>1.2</v>
      </c>
      <c r="I32" s="116">
        <v>9500</v>
      </c>
      <c r="J32" s="116">
        <v>6400</v>
      </c>
      <c r="K32" s="116"/>
      <c r="L32" s="116"/>
      <c r="M32" s="116">
        <v>590</v>
      </c>
      <c r="N32" s="116"/>
      <c r="O32" s="116"/>
      <c r="P32" s="116"/>
      <c r="Q32" s="116">
        <v>380</v>
      </c>
      <c r="R32" s="116">
        <v>415</v>
      </c>
      <c r="S32" s="116">
        <f>IF(LEFT(TimberType[[#This Row],[Classe]])="GL",IF(Input!$I$5=RefText_DB!$B$4,1.25,1.45),IF(Input!$I$5=RefText_DB!$B$4,1.3,1.5))</f>
        <v>1.3</v>
      </c>
      <c r="T32"/>
    </row>
    <row r="33" spans="1:20" ht="15" x14ac:dyDescent="0.25">
      <c r="A33" s="120" t="s">
        <v>188</v>
      </c>
      <c r="B33" s="116">
        <v>32</v>
      </c>
      <c r="C33" s="116">
        <v>19</v>
      </c>
      <c r="D33" s="116">
        <v>0.3</v>
      </c>
      <c r="E33" s="116">
        <v>24</v>
      </c>
      <c r="F33" s="116">
        <v>2.1</v>
      </c>
      <c r="G33" s="116">
        <v>3.2</v>
      </c>
      <c r="H33" s="116">
        <v>1.2</v>
      </c>
      <c r="I33" s="116">
        <v>11000</v>
      </c>
      <c r="J33" s="116">
        <v>7400</v>
      </c>
      <c r="K33" s="116"/>
      <c r="L33" s="116"/>
      <c r="M33" s="116">
        <v>690</v>
      </c>
      <c r="N33" s="116"/>
      <c r="O33" s="116"/>
      <c r="P33" s="116"/>
      <c r="Q33" s="116">
        <v>280</v>
      </c>
      <c r="R33" s="116">
        <v>305</v>
      </c>
      <c r="S33" s="116">
        <f>IF(LEFT(TimberType[[#This Row],[Classe]])="GL",IF(Input!$I$5=RefText_DB!$B$4,1.25,1.45),IF(Input!$I$5=RefText_DB!$B$4,1.3,1.5))</f>
        <v>1.3</v>
      </c>
      <c r="T33"/>
    </row>
    <row r="34" spans="1:20" ht="15" x14ac:dyDescent="0.25">
      <c r="A34" s="120" t="s">
        <v>189</v>
      </c>
      <c r="B34" s="116">
        <v>28</v>
      </c>
      <c r="C34" s="116">
        <v>17</v>
      </c>
      <c r="D34" s="116">
        <v>0.3</v>
      </c>
      <c r="E34" s="116">
        <v>22</v>
      </c>
      <c r="F34" s="116">
        <v>2.1</v>
      </c>
      <c r="G34" s="116">
        <v>2.9</v>
      </c>
      <c r="H34" s="116">
        <v>1.2</v>
      </c>
      <c r="I34" s="116">
        <v>10000</v>
      </c>
      <c r="J34" s="116">
        <v>6700</v>
      </c>
      <c r="K34" s="116"/>
      <c r="L34" s="116"/>
      <c r="M34" s="116">
        <v>630</v>
      </c>
      <c r="N34" s="116"/>
      <c r="O34" s="116"/>
      <c r="P34" s="116"/>
      <c r="Q34" s="116">
        <v>280</v>
      </c>
      <c r="R34" s="116">
        <v>305</v>
      </c>
      <c r="S34" s="116">
        <f>IF(LEFT(TimberType[[#This Row],[Classe]])="GL",IF(Input!$I$5=RefText_DB!$B$4,1.25,1.45),IF(Input!$I$5=RefText_DB!$B$4,1.3,1.5))</f>
        <v>1.3</v>
      </c>
      <c r="T34"/>
    </row>
    <row r="35" spans="1:20" ht="15" x14ac:dyDescent="0.25">
      <c r="A35" s="120" t="s">
        <v>190</v>
      </c>
      <c r="B35" s="116">
        <v>21</v>
      </c>
      <c r="C35" s="116">
        <v>13</v>
      </c>
      <c r="D35" s="116">
        <v>0.3</v>
      </c>
      <c r="E35" s="116">
        <v>20</v>
      </c>
      <c r="F35" s="116">
        <v>2.1</v>
      </c>
      <c r="G35" s="116">
        <v>2.2999999999999998</v>
      </c>
      <c r="H35" s="116">
        <v>1.2</v>
      </c>
      <c r="I35" s="116">
        <v>9500</v>
      </c>
      <c r="J35" s="116">
        <v>6400</v>
      </c>
      <c r="K35" s="116"/>
      <c r="L35" s="116"/>
      <c r="M35" s="116">
        <v>590</v>
      </c>
      <c r="N35" s="116"/>
      <c r="O35" s="116"/>
      <c r="P35" s="116"/>
      <c r="Q35" s="116">
        <v>280</v>
      </c>
      <c r="R35" s="116">
        <v>305</v>
      </c>
      <c r="S35" s="116">
        <f>IF(LEFT(TimberType[[#This Row],[Classe]])="GL",IF(Input!$I$5=RefText_DB!$B$4,1.25,1.45),IF(Input!$I$5=RefText_DB!$B$4,1.3,1.5))</f>
        <v>1.3</v>
      </c>
      <c r="T35"/>
    </row>
    <row r="36" spans="1:20" ht="15" x14ac:dyDescent="0.25">
      <c r="A36" s="120" t="s">
        <v>191</v>
      </c>
      <c r="B36" s="116">
        <v>42</v>
      </c>
      <c r="C36" s="116">
        <v>25</v>
      </c>
      <c r="D36" s="116">
        <v>0.6</v>
      </c>
      <c r="E36" s="116">
        <v>27</v>
      </c>
      <c r="F36" s="116">
        <v>4</v>
      </c>
      <c r="G36" s="116">
        <v>4</v>
      </c>
      <c r="H36" s="116">
        <v>1.2</v>
      </c>
      <c r="I36" s="116">
        <v>13000</v>
      </c>
      <c r="J36" s="116">
        <v>8700</v>
      </c>
      <c r="K36" s="116"/>
      <c r="L36" s="116"/>
      <c r="M36" s="116">
        <v>810</v>
      </c>
      <c r="N36" s="116"/>
      <c r="O36" s="116"/>
      <c r="P36" s="116"/>
      <c r="Q36" s="116">
        <v>550</v>
      </c>
      <c r="R36" s="116">
        <v>600</v>
      </c>
      <c r="S36" s="116">
        <f>IF(LEFT(TimberType[[#This Row],[Classe]])="GL",IF(Input!$I$5=RefText_DB!$B$4,1.25,1.45),IF(Input!$I$5=RefText_DB!$B$4,1.3,1.5))</f>
        <v>1.3</v>
      </c>
      <c r="T36"/>
    </row>
    <row r="37" spans="1:20" ht="15" x14ac:dyDescent="0.25">
      <c r="A37" s="120" t="s">
        <v>192</v>
      </c>
      <c r="B37" s="116">
        <v>32</v>
      </c>
      <c r="C37" s="116">
        <v>19</v>
      </c>
      <c r="D37" s="116">
        <v>0.6</v>
      </c>
      <c r="E37" s="116">
        <v>24</v>
      </c>
      <c r="F37" s="116">
        <v>4</v>
      </c>
      <c r="G37" s="116">
        <v>3.2</v>
      </c>
      <c r="H37" s="116">
        <v>1.2</v>
      </c>
      <c r="I37" s="116">
        <v>12000</v>
      </c>
      <c r="J37" s="116">
        <v>8000</v>
      </c>
      <c r="K37" s="116"/>
      <c r="L37" s="116"/>
      <c r="M37" s="116">
        <v>750</v>
      </c>
      <c r="N37" s="116"/>
      <c r="O37" s="116"/>
      <c r="P37" s="116"/>
      <c r="Q37" s="116">
        <v>550</v>
      </c>
      <c r="R37" s="116">
        <v>600</v>
      </c>
      <c r="S37" s="116">
        <f>IF(LEFT(TimberType[[#This Row],[Classe]])="GL",IF(Input!$I$5=RefText_DB!$B$4,1.25,1.45),IF(Input!$I$5=RefText_DB!$B$4,1.3,1.5))</f>
        <v>1.3</v>
      </c>
      <c r="T37"/>
    </row>
    <row r="38" spans="1:20" ht="15" x14ac:dyDescent="0.25">
      <c r="A38" s="120" t="s">
        <v>193</v>
      </c>
      <c r="B38" s="116">
        <v>26</v>
      </c>
      <c r="C38" s="116">
        <v>16</v>
      </c>
      <c r="D38" s="116">
        <v>0.6</v>
      </c>
      <c r="E38" s="116">
        <v>22</v>
      </c>
      <c r="F38" s="116">
        <v>4</v>
      </c>
      <c r="G38" s="116">
        <v>2.7</v>
      </c>
      <c r="H38" s="116">
        <v>1.2</v>
      </c>
      <c r="I38" s="116">
        <v>11500</v>
      </c>
      <c r="J38" s="116">
        <v>7700</v>
      </c>
      <c r="K38" s="116"/>
      <c r="L38" s="116"/>
      <c r="M38" s="116">
        <v>720</v>
      </c>
      <c r="N38" s="116"/>
      <c r="O38" s="116"/>
      <c r="P38" s="116"/>
      <c r="Q38" s="116">
        <v>550</v>
      </c>
      <c r="R38" s="116">
        <v>600</v>
      </c>
      <c r="S38" s="116">
        <f>IF(LEFT(TimberType[[#This Row],[Classe]])="GL",IF(Input!$I$5=RefText_DB!$B$4,1.25,1.45),IF(Input!$I$5=RefText_DB!$B$4,1.3,1.5))</f>
        <v>1.3</v>
      </c>
      <c r="T38"/>
    </row>
    <row r="39" spans="1:20" ht="15" x14ac:dyDescent="0.25">
      <c r="A39" s="120" t="s">
        <v>194</v>
      </c>
      <c r="B39" s="116">
        <v>40</v>
      </c>
      <c r="C39" s="116">
        <v>24</v>
      </c>
      <c r="D39" s="116">
        <v>0.4</v>
      </c>
      <c r="E39" s="116">
        <v>26</v>
      </c>
      <c r="F39" s="116">
        <v>2.6</v>
      </c>
      <c r="G39" s="116">
        <v>4</v>
      </c>
      <c r="H39" s="116">
        <v>1.2</v>
      </c>
      <c r="I39" s="116">
        <v>14000</v>
      </c>
      <c r="J39" s="116">
        <v>9400</v>
      </c>
      <c r="K39" s="116"/>
      <c r="L39" s="116"/>
      <c r="M39" s="116">
        <v>880</v>
      </c>
      <c r="N39" s="116"/>
      <c r="O39" s="116"/>
      <c r="P39" s="116"/>
      <c r="Q39" s="116">
        <v>400</v>
      </c>
      <c r="R39" s="116">
        <v>435</v>
      </c>
      <c r="S39" s="116">
        <f>IF(LEFT(TimberType[[#This Row],[Classe]])="GL",IF(Input!$I$5=RefText_DB!$B$4,1.25,1.45),IF(Input!$I$5=RefText_DB!$B$4,1.3,1.5))</f>
        <v>1.3</v>
      </c>
      <c r="T39"/>
    </row>
    <row r="40" spans="1:20" ht="15" x14ac:dyDescent="0.25">
      <c r="A40" s="120" t="s">
        <v>195</v>
      </c>
      <c r="B40" s="116">
        <v>23</v>
      </c>
      <c r="C40" s="116">
        <v>14</v>
      </c>
      <c r="D40" s="116">
        <v>0.4</v>
      </c>
      <c r="E40" s="116">
        <v>20</v>
      </c>
      <c r="F40" s="116">
        <v>2.6</v>
      </c>
      <c r="G40" s="116">
        <v>3.4</v>
      </c>
      <c r="H40" s="116">
        <v>1.2</v>
      </c>
      <c r="I40" s="116">
        <v>12500</v>
      </c>
      <c r="J40" s="116">
        <v>8400</v>
      </c>
      <c r="K40" s="116"/>
      <c r="L40" s="116"/>
      <c r="M40" s="116">
        <v>780</v>
      </c>
      <c r="N40" s="116"/>
      <c r="O40" s="116"/>
      <c r="P40" s="116"/>
      <c r="Q40" s="116">
        <v>420</v>
      </c>
      <c r="R40" s="116">
        <v>455</v>
      </c>
      <c r="S40" s="116">
        <f>IF(LEFT(TimberType[[#This Row],[Classe]])="GL",IF(Input!$I$5=RefText_DB!$B$4,1.25,1.45),IF(Input!$I$5=RefText_DB!$B$4,1.3,1.5))</f>
        <v>1.3</v>
      </c>
      <c r="T40"/>
    </row>
    <row r="41" spans="1:20" ht="15" x14ac:dyDescent="0.25">
      <c r="A41" s="120" t="s">
        <v>196</v>
      </c>
      <c r="B41" s="116">
        <v>33</v>
      </c>
      <c r="C41" s="116">
        <v>20</v>
      </c>
      <c r="D41" s="116">
        <v>0.5</v>
      </c>
      <c r="E41" s="116">
        <v>24</v>
      </c>
      <c r="F41" s="116">
        <v>4</v>
      </c>
      <c r="G41" s="116">
        <v>3.3</v>
      </c>
      <c r="H41" s="116">
        <v>1.2</v>
      </c>
      <c r="I41" s="116">
        <v>12300</v>
      </c>
      <c r="J41" s="116">
        <v>8200</v>
      </c>
      <c r="K41" s="116"/>
      <c r="L41" s="116"/>
      <c r="M41" s="116">
        <v>770</v>
      </c>
      <c r="N41" s="116"/>
      <c r="O41" s="116"/>
      <c r="P41" s="116"/>
      <c r="Q41" s="116">
        <v>530</v>
      </c>
      <c r="R41" s="116">
        <v>575</v>
      </c>
      <c r="S41" s="116">
        <f>IF(LEFT(TimberType[[#This Row],[Classe]])="GL",IF(Input!$I$5=RefText_DB!$B$4,1.25,1.45),IF(Input!$I$5=RefText_DB!$B$4,1.3,1.5))</f>
        <v>1.3</v>
      </c>
      <c r="T41"/>
    </row>
    <row r="42" spans="1:20" ht="15" x14ac:dyDescent="0.25">
      <c r="A42" s="120" t="s">
        <v>197</v>
      </c>
      <c r="B42" s="116">
        <v>26</v>
      </c>
      <c r="C42" s="116">
        <v>16</v>
      </c>
      <c r="D42" s="116">
        <v>0.5</v>
      </c>
      <c r="E42" s="116">
        <v>22</v>
      </c>
      <c r="F42" s="116">
        <v>4</v>
      </c>
      <c r="G42" s="116">
        <v>2.7</v>
      </c>
      <c r="H42" s="116">
        <v>1.2</v>
      </c>
      <c r="I42" s="116">
        <v>11400</v>
      </c>
      <c r="J42" s="116">
        <v>7600</v>
      </c>
      <c r="K42" s="116"/>
      <c r="L42" s="116"/>
      <c r="M42" s="116">
        <v>710</v>
      </c>
      <c r="N42" s="116"/>
      <c r="O42" s="116"/>
      <c r="P42" s="116"/>
      <c r="Q42" s="116">
        <v>530</v>
      </c>
      <c r="R42" s="116">
        <v>575</v>
      </c>
      <c r="S42" s="116">
        <f>IF(LEFT(TimberType[[#This Row],[Classe]])="GL",IF(Input!$I$5=RefText_DB!$B$4,1.25,1.45),IF(Input!$I$5=RefText_DB!$B$4,1.3,1.5))</f>
        <v>1.3</v>
      </c>
      <c r="T42"/>
    </row>
    <row r="43" spans="1:20" ht="15" x14ac:dyDescent="0.25">
      <c r="A43" s="120" t="s">
        <v>198</v>
      </c>
      <c r="B43" s="116">
        <v>22</v>
      </c>
      <c r="C43" s="116">
        <v>13</v>
      </c>
      <c r="D43" s="116">
        <v>0.5</v>
      </c>
      <c r="E43" s="116">
        <v>20</v>
      </c>
      <c r="F43" s="116">
        <v>4</v>
      </c>
      <c r="G43" s="116">
        <v>2.4</v>
      </c>
      <c r="H43" s="116">
        <v>1.2</v>
      </c>
      <c r="I43" s="116">
        <v>10500</v>
      </c>
      <c r="J43" s="116">
        <v>7000</v>
      </c>
      <c r="K43" s="116"/>
      <c r="L43" s="116"/>
      <c r="M43" s="116">
        <v>660</v>
      </c>
      <c r="N43" s="116"/>
      <c r="O43" s="116"/>
      <c r="P43" s="116"/>
      <c r="Q43" s="116">
        <v>530</v>
      </c>
      <c r="R43" s="116">
        <v>575</v>
      </c>
      <c r="S43" s="116">
        <f>IF(LEFT(TimberType[[#This Row],[Classe]])="GL",IF(Input!$I$5=RefText_DB!$B$4,1.25,1.45),IF(Input!$I$5=RefText_DB!$B$4,1.3,1.5))</f>
        <v>1.3</v>
      </c>
      <c r="T43"/>
    </row>
    <row r="45" spans="1:20" x14ac:dyDescent="0.25">
      <c r="A45" s="121" t="s">
        <v>199</v>
      </c>
    </row>
    <row r="46" spans="1:20" ht="79.5" x14ac:dyDescent="0.25">
      <c r="A46" s="129"/>
      <c r="B46" s="130" t="s">
        <v>200</v>
      </c>
      <c r="C46" s="131" t="s">
        <v>201</v>
      </c>
    </row>
    <row r="47" spans="1:20" x14ac:dyDescent="0.25">
      <c r="A47" s="132" t="s">
        <v>202</v>
      </c>
      <c r="B47" s="132">
        <v>2</v>
      </c>
      <c r="C47" s="132">
        <v>0.3</v>
      </c>
      <c r="D47" s="121">
        <v>1</v>
      </c>
    </row>
    <row r="48" spans="1:20" x14ac:dyDescent="0.25">
      <c r="A48" s="132" t="s">
        <v>203</v>
      </c>
      <c r="B48" s="133">
        <v>2</v>
      </c>
      <c r="C48" s="133">
        <v>0.3</v>
      </c>
      <c r="D48" s="121">
        <v>2</v>
      </c>
    </row>
    <row r="49" spans="1:14" x14ac:dyDescent="0.25">
      <c r="A49" s="132" t="s">
        <v>204</v>
      </c>
      <c r="B49" s="133">
        <v>3</v>
      </c>
      <c r="C49" s="133">
        <v>0.3</v>
      </c>
      <c r="D49" s="121">
        <v>3</v>
      </c>
    </row>
    <row r="50" spans="1:14" x14ac:dyDescent="0.25">
      <c r="A50" s="132" t="s">
        <v>205</v>
      </c>
      <c r="B50" s="133">
        <v>3</v>
      </c>
      <c r="C50" s="133">
        <v>0.6</v>
      </c>
      <c r="D50" s="121">
        <v>4</v>
      </c>
    </row>
    <row r="51" spans="1:14" ht="20.25" customHeight="1" x14ac:dyDescent="0.25">
      <c r="A51" s="132" t="s">
        <v>206</v>
      </c>
      <c r="B51" s="133">
        <v>4</v>
      </c>
      <c r="C51" s="133">
        <v>0.6</v>
      </c>
      <c r="D51" s="121">
        <v>5</v>
      </c>
    </row>
    <row r="52" spans="1:14" x14ac:dyDescent="0.25">
      <c r="A52" s="132" t="s">
        <v>207</v>
      </c>
      <c r="B52" s="133">
        <v>5</v>
      </c>
      <c r="C52" s="133">
        <v>0.6</v>
      </c>
      <c r="D52" s="121">
        <v>6</v>
      </c>
    </row>
    <row r="53" spans="1:14" x14ac:dyDescent="0.25">
      <c r="A53" s="132" t="s">
        <v>208</v>
      </c>
      <c r="B53" s="133">
        <v>4</v>
      </c>
      <c r="C53" s="133">
        <v>0.6</v>
      </c>
      <c r="D53" s="121">
        <v>7</v>
      </c>
    </row>
    <row r="54" spans="1:14" x14ac:dyDescent="0.25">
      <c r="A54" s="132" t="s">
        <v>209</v>
      </c>
      <c r="B54" s="133">
        <v>5</v>
      </c>
      <c r="C54" s="133">
        <v>0.6</v>
      </c>
      <c r="D54" s="121">
        <v>8</v>
      </c>
    </row>
    <row r="55" spans="1:14" x14ac:dyDescent="0.25">
      <c r="A55" s="132" t="s">
        <v>210</v>
      </c>
      <c r="B55" s="133">
        <v>6</v>
      </c>
      <c r="C55" s="133">
        <v>0.8</v>
      </c>
      <c r="D55" s="121">
        <v>9</v>
      </c>
    </row>
    <row r="56" spans="1:14" x14ac:dyDescent="0.25">
      <c r="A56" s="132" t="s">
        <v>211</v>
      </c>
      <c r="B56" s="133">
        <v>2.5</v>
      </c>
      <c r="C56" s="133">
        <v>0.6</v>
      </c>
      <c r="D56" s="121">
        <v>10</v>
      </c>
    </row>
    <row r="57" spans="1:14" x14ac:dyDescent="0.25">
      <c r="A57" s="132" t="s">
        <v>212</v>
      </c>
      <c r="B57" s="133">
        <v>0.5</v>
      </c>
      <c r="C57" s="133">
        <v>0</v>
      </c>
      <c r="D57" s="121">
        <v>11</v>
      </c>
    </row>
    <row r="59" spans="1:14" x14ac:dyDescent="0.25">
      <c r="A59" s="134" t="s">
        <v>213</v>
      </c>
    </row>
    <row r="60" spans="1:14" ht="15" x14ac:dyDescent="0.25">
      <c r="A60"/>
      <c r="B60"/>
      <c r="C60"/>
      <c r="D60"/>
      <c r="E60"/>
      <c r="F60"/>
      <c r="G60"/>
    </row>
    <row r="61" spans="1:14" ht="15" x14ac:dyDescent="0.25">
      <c r="A61"/>
      <c r="B61"/>
      <c r="C61"/>
      <c r="D61"/>
      <c r="E61"/>
      <c r="F61"/>
      <c r="G61"/>
    </row>
    <row r="62" spans="1:14" ht="15" x14ac:dyDescent="0.25">
      <c r="A62"/>
      <c r="B62"/>
      <c r="C62"/>
      <c r="D62"/>
      <c r="E62"/>
      <c r="F62"/>
      <c r="G62"/>
      <c r="I62" s="120" t="s">
        <v>718</v>
      </c>
      <c r="J62" s="120" t="s">
        <v>596</v>
      </c>
      <c r="K62" s="120" t="s">
        <v>598</v>
      </c>
      <c r="L62" s="120" t="s">
        <v>599</v>
      </c>
      <c r="M62" s="120" t="s">
        <v>597</v>
      </c>
      <c r="N62" s="120" t="s">
        <v>600</v>
      </c>
    </row>
    <row r="63" spans="1:14" ht="15" x14ac:dyDescent="0.25">
      <c r="A63"/>
      <c r="B63"/>
      <c r="C63"/>
      <c r="D63"/>
      <c r="E63"/>
      <c r="F63"/>
      <c r="G63"/>
      <c r="I63" s="120">
        <v>1</v>
      </c>
      <c r="J63" s="120">
        <f>IF(Input!$I$5="UNI EN 1995:2015",0.6,0.6)</f>
        <v>0.6</v>
      </c>
      <c r="K63" s="120">
        <f>IF(Input!$I$5="UNI EN 1995:2015",0.7,0.7)</f>
        <v>0.7</v>
      </c>
      <c r="L63" s="120">
        <f>IF(Input!$I$5="UNI EN 1995:2015",0.8,0.8)</f>
        <v>0.8</v>
      </c>
      <c r="M63" s="120">
        <f>IF(Input!$I$5="UNI EN 1995:2015",0.9,0.9)</f>
        <v>0.9</v>
      </c>
      <c r="N63" s="120">
        <f>IF(Input!$I$5="UNI EN 1995:2015",1.1,1.1)</f>
        <v>1.1000000000000001</v>
      </c>
    </row>
    <row r="64" spans="1:14" ht="15" x14ac:dyDescent="0.25">
      <c r="A64"/>
      <c r="B64"/>
      <c r="C64"/>
      <c r="D64"/>
      <c r="E64"/>
      <c r="F64"/>
      <c r="G64"/>
      <c r="I64" s="120">
        <v>2</v>
      </c>
      <c r="J64" s="120">
        <f>IF(Input!$I$5="UNI EN 1995:2015",0.6,0.6)</f>
        <v>0.6</v>
      </c>
      <c r="K64" s="120">
        <f>IF(Input!$I$5="UNI EN 1995:2015",0.7,0.7)</f>
        <v>0.7</v>
      </c>
      <c r="L64" s="120">
        <f>IF(Input!$I$5="UNI EN 1995:2015",0.8,0.8)</f>
        <v>0.8</v>
      </c>
      <c r="M64" s="120">
        <f>IF(Input!$I$5="UNI EN 1995:2015",0.9,0.9)</f>
        <v>0.9</v>
      </c>
      <c r="N64" s="120">
        <f>IF(Input!$I$5="UNI EN 1995:2015",1.1,1.1)</f>
        <v>1.1000000000000001</v>
      </c>
    </row>
    <row r="65" spans="1:14" ht="15" x14ac:dyDescent="0.25">
      <c r="A65"/>
      <c r="B65"/>
      <c r="C65"/>
      <c r="D65"/>
      <c r="E65"/>
      <c r="F65"/>
      <c r="G65"/>
      <c r="I65" s="120">
        <v>3</v>
      </c>
      <c r="J65" s="120">
        <f>IF(Input!$I$5="UNI EN 1995:2015",0.5,0.5)</f>
        <v>0.5</v>
      </c>
      <c r="K65" s="120">
        <f>IF(Input!$I$5="UNI EN 1995:2015",0.55,0.55)</f>
        <v>0.55000000000000004</v>
      </c>
      <c r="L65" s="120">
        <f>IF(Input!$I$5="UNI EN 1995:2015",0.65,0.65)</f>
        <v>0.65</v>
      </c>
      <c r="M65" s="120">
        <f>IF(Input!$I$5="UNI EN 1995:2015",0.7,0.7)</f>
        <v>0.7</v>
      </c>
      <c r="N65" s="120">
        <f>IF(Input!$I$5="UNI EN 1995:2015",0.9,0.9)</f>
        <v>0.9</v>
      </c>
    </row>
    <row r="67" spans="1:14" ht="45" x14ac:dyDescent="0.25">
      <c r="A67" s="134" t="s">
        <v>215</v>
      </c>
      <c r="I67" s="120" t="s">
        <v>718</v>
      </c>
      <c r="J67" s="122" t="s">
        <v>216</v>
      </c>
    </row>
    <row r="68" spans="1:14" ht="15" x14ac:dyDescent="0.25">
      <c r="I68" s="120">
        <v>1</v>
      </c>
      <c r="J68" s="120">
        <v>0.69</v>
      </c>
    </row>
    <row r="69" spans="1:14" ht="15" x14ac:dyDescent="0.25">
      <c r="I69" s="120">
        <v>2</v>
      </c>
      <c r="J69" s="120">
        <v>0.89</v>
      </c>
    </row>
    <row r="70" spans="1:14" ht="15" x14ac:dyDescent="0.25">
      <c r="I70" s="120">
        <v>3</v>
      </c>
      <c r="J70" s="120">
        <v>2</v>
      </c>
    </row>
    <row r="71" spans="1:14" x14ac:dyDescent="0.25">
      <c r="H71" s="56"/>
      <c r="I71" s="56"/>
      <c r="J71" s="56"/>
      <c r="K71" s="56"/>
      <c r="L71" s="55"/>
    </row>
    <row r="72" spans="1:14" x14ac:dyDescent="0.25">
      <c r="H72" s="56"/>
      <c r="I72" s="141" t="s">
        <v>739</v>
      </c>
      <c r="J72" s="142" t="s">
        <v>741</v>
      </c>
      <c r="K72" s="56" t="s">
        <v>936</v>
      </c>
      <c r="L72" s="56" t="s">
        <v>290</v>
      </c>
    </row>
    <row r="73" spans="1:14" ht="14.25" x14ac:dyDescent="0.25">
      <c r="H73" s="56"/>
      <c r="I73" s="141" t="s">
        <v>740</v>
      </c>
      <c r="J73" s="56" t="s">
        <v>742</v>
      </c>
      <c r="K73" s="56">
        <v>1.3</v>
      </c>
      <c r="L73" s="56">
        <v>1.5</v>
      </c>
    </row>
    <row r="74" spans="1:14" ht="14.25" x14ac:dyDescent="0.25">
      <c r="H74" s="56"/>
      <c r="I74" s="141" t="s">
        <v>770</v>
      </c>
      <c r="J74" s="56"/>
      <c r="K74" s="56">
        <v>1.25</v>
      </c>
      <c r="L74" s="56">
        <v>1.25</v>
      </c>
      <c r="M74" s="121" t="s">
        <v>772</v>
      </c>
    </row>
    <row r="75" spans="1:14" ht="14.25" x14ac:dyDescent="0.25">
      <c r="H75" s="56"/>
      <c r="I75" s="141" t="s">
        <v>771</v>
      </c>
      <c r="J75" s="56"/>
      <c r="K75" s="56">
        <v>1.25</v>
      </c>
      <c r="L75" s="56">
        <v>1.45</v>
      </c>
    </row>
    <row r="76" spans="1:14" ht="14.25" x14ac:dyDescent="0.25">
      <c r="A76" s="121" t="s">
        <v>217</v>
      </c>
      <c r="H76" s="56"/>
      <c r="I76" s="141" t="s">
        <v>763</v>
      </c>
      <c r="J76" s="56"/>
      <c r="K76" s="56">
        <v>1</v>
      </c>
      <c r="L76" s="56">
        <v>1.05</v>
      </c>
      <c r="M76" s="121" t="s">
        <v>773</v>
      </c>
    </row>
    <row r="77" spans="1:14" ht="14.25" x14ac:dyDescent="0.25">
      <c r="A77" s="121" t="s">
        <v>218</v>
      </c>
      <c r="H77" s="56"/>
      <c r="I77" s="141" t="s">
        <v>764</v>
      </c>
      <c r="J77" s="56"/>
      <c r="K77" s="56">
        <v>1.25</v>
      </c>
      <c r="L77" s="56">
        <v>1.25</v>
      </c>
      <c r="M77" s="121" t="s">
        <v>774</v>
      </c>
    </row>
    <row r="78" spans="1:14" ht="14.25" x14ac:dyDescent="0.25">
      <c r="A78" s="127" t="str" cm="1">
        <f t="array" ref="A78">INDEX(LEN_IN[],14,MATCH(CONDITIONS!$E$3,Len_DB!$C$8:$H$8,0)+1)</f>
        <v>Load duration</v>
      </c>
      <c r="B78" s="121">
        <v>1</v>
      </c>
      <c r="H78" s="56"/>
      <c r="I78" s="141" t="s">
        <v>745</v>
      </c>
      <c r="J78" s="56"/>
      <c r="K78" s="56">
        <v>1.35</v>
      </c>
      <c r="L78" s="56">
        <v>1.35</v>
      </c>
    </row>
    <row r="79" spans="1:14" ht="14.25" x14ac:dyDescent="0.25">
      <c r="A79" s="127" t="str" cm="1">
        <f t="array" ref="A79">INDEX(LEN_IN[],15,MATCH(CONDITIONS!$E$3,Len_DB!$C$8:$H$8,0)+1)</f>
        <v>Permanent</v>
      </c>
      <c r="B79" s="121">
        <v>2</v>
      </c>
      <c r="H79" s="56"/>
      <c r="I79" s="141" t="s">
        <v>746</v>
      </c>
      <c r="J79" s="56"/>
      <c r="K79" s="56">
        <v>1.5</v>
      </c>
      <c r="L79" s="56">
        <v>1.5</v>
      </c>
    </row>
    <row r="80" spans="1:14" x14ac:dyDescent="0.25">
      <c r="A80" s="127" t="str" cm="1">
        <f t="array" ref="A80">INDEX(LEN_IN[],16,MATCH(CONDITIONS!$E$3,Len_DB!$C$8:$H$8,0)+1)</f>
        <v>Long term</v>
      </c>
      <c r="B80" s="121">
        <v>3</v>
      </c>
    </row>
    <row r="81" spans="1:32" x14ac:dyDescent="0.25">
      <c r="A81" s="127" t="str" cm="1">
        <f t="array" ref="A81">INDEX(LEN_IN[],17,MATCH(CONDITIONS!$E$3,Len_DB!$C$8:$H$8,0)+1)</f>
        <v>Medium term</v>
      </c>
      <c r="B81" s="121">
        <v>4</v>
      </c>
    </row>
    <row r="82" spans="1:32" ht="15.75" x14ac:dyDescent="0.3">
      <c r="A82" s="127" t="str" cm="1">
        <f t="array" ref="A82">INDEX(LEN_IN[],18,MATCH(CONDITIONS!$E$3,Len_DB!$C$8:$H$8,0)+1)</f>
        <v>Short term</v>
      </c>
      <c r="B82" s="121">
        <v>5</v>
      </c>
      <c r="I82" t="s">
        <v>219</v>
      </c>
      <c r="J82" s="208" t="s">
        <v>762</v>
      </c>
      <c r="K82"/>
    </row>
    <row r="83" spans="1:32" ht="15" x14ac:dyDescent="0.25">
      <c r="I83" t="s">
        <v>220</v>
      </c>
      <c r="J83">
        <v>410</v>
      </c>
      <c r="K83">
        <v>1</v>
      </c>
    </row>
    <row r="84" spans="1:32" ht="15" x14ac:dyDescent="0.25">
      <c r="I84" t="s">
        <v>221</v>
      </c>
      <c r="J84">
        <v>410</v>
      </c>
      <c r="K84">
        <v>2</v>
      </c>
    </row>
    <row r="85" spans="1:32" ht="15" x14ac:dyDescent="0.25">
      <c r="I85" t="s">
        <v>222</v>
      </c>
      <c r="J85">
        <v>420</v>
      </c>
      <c r="K85">
        <v>3</v>
      </c>
    </row>
    <row r="86" spans="1:32" ht="15" x14ac:dyDescent="0.25">
      <c r="I86" t="s">
        <v>223</v>
      </c>
      <c r="J86">
        <v>550</v>
      </c>
      <c r="K86">
        <v>4</v>
      </c>
    </row>
    <row r="89" spans="1:32" x14ac:dyDescent="0.25">
      <c r="A89" s="128" t="s">
        <v>224</v>
      </c>
    </row>
    <row r="90" spans="1:32" ht="15" x14ac:dyDescent="0.25">
      <c r="A90" s="127" t="s">
        <v>225</v>
      </c>
      <c r="B90" s="127">
        <v>1</v>
      </c>
      <c r="O90"/>
      <c r="P90"/>
      <c r="Q90"/>
      <c r="R90"/>
      <c r="S90"/>
      <c r="T90"/>
      <c r="U90"/>
      <c r="V90"/>
      <c r="W90"/>
      <c r="X90"/>
      <c r="Y90"/>
    </row>
    <row r="91" spans="1:32" ht="15" x14ac:dyDescent="0.25">
      <c r="A91" s="135" t="s">
        <v>226</v>
      </c>
      <c r="B91" s="127">
        <v>2</v>
      </c>
      <c r="O91"/>
      <c r="P91"/>
      <c r="Q91"/>
      <c r="R91"/>
      <c r="S91"/>
      <c r="T91"/>
      <c r="U91"/>
      <c r="V91"/>
      <c r="W91"/>
      <c r="X91"/>
      <c r="Y91"/>
    </row>
    <row r="92" spans="1:32" ht="15" x14ac:dyDescent="0.25">
      <c r="O92"/>
      <c r="P92"/>
      <c r="Q92"/>
      <c r="R92"/>
      <c r="S92"/>
      <c r="T92"/>
      <c r="U92"/>
      <c r="V92"/>
      <c r="W92"/>
      <c r="X92"/>
      <c r="Y92"/>
    </row>
    <row r="93" spans="1:32" ht="15" x14ac:dyDescent="0.25">
      <c r="A93" s="128" t="s">
        <v>227</v>
      </c>
      <c r="O93"/>
      <c r="P93"/>
      <c r="Q93"/>
      <c r="R93"/>
      <c r="S93"/>
      <c r="T93"/>
      <c r="U93"/>
      <c r="V93"/>
      <c r="W93"/>
      <c r="X93"/>
      <c r="Y93"/>
    </row>
    <row r="94" spans="1:32" ht="15" x14ac:dyDescent="0.25">
      <c r="A94" s="127" t="s">
        <v>228</v>
      </c>
      <c r="B94" s="127">
        <v>1</v>
      </c>
      <c r="O94"/>
      <c r="P94"/>
      <c r="Q94"/>
      <c r="R94"/>
      <c r="S94"/>
      <c r="T94"/>
      <c r="U94"/>
      <c r="V94"/>
      <c r="W94"/>
      <c r="X94"/>
      <c r="Y94"/>
      <c r="Z94"/>
      <c r="AA94"/>
      <c r="AB94"/>
      <c r="AC94"/>
      <c r="AD94"/>
      <c r="AE94"/>
      <c r="AF94"/>
    </row>
    <row r="95" spans="1:32" ht="15" x14ac:dyDescent="0.25">
      <c r="A95" s="127" t="s">
        <v>229</v>
      </c>
      <c r="B95" s="127">
        <v>2</v>
      </c>
      <c r="O95"/>
      <c r="P95"/>
      <c r="Q95"/>
      <c r="R95"/>
      <c r="S95"/>
      <c r="T95"/>
      <c r="U95"/>
      <c r="V95"/>
      <c r="W95"/>
      <c r="X95"/>
      <c r="Y95"/>
      <c r="Z95"/>
      <c r="AA95"/>
      <c r="AB95"/>
      <c r="AC95"/>
      <c r="AD95"/>
      <c r="AE95"/>
      <c r="AF95"/>
    </row>
    <row r="96" spans="1:32" ht="15" x14ac:dyDescent="0.25">
      <c r="O96"/>
      <c r="P96"/>
      <c r="Q96"/>
      <c r="R96"/>
      <c r="S96"/>
      <c r="T96"/>
      <c r="U96"/>
      <c r="V96"/>
      <c r="W96"/>
      <c r="X96"/>
      <c r="Y96"/>
      <c r="Z96"/>
      <c r="AA96"/>
      <c r="AB96"/>
      <c r="AC96"/>
      <c r="AD96"/>
      <c r="AE96"/>
      <c r="AF96"/>
    </row>
    <row r="97" spans="1:32" ht="15.75" x14ac:dyDescent="0.25">
      <c r="A97" s="121" t="s">
        <v>230</v>
      </c>
      <c r="O97"/>
      <c r="P97"/>
      <c r="Q97"/>
      <c r="R97"/>
      <c r="S97"/>
      <c r="T97"/>
      <c r="U97"/>
      <c r="V97"/>
      <c r="W97"/>
      <c r="X97"/>
      <c r="Y97"/>
      <c r="Z97"/>
      <c r="AA97"/>
      <c r="AB97"/>
      <c r="AC97"/>
      <c r="AD97"/>
      <c r="AE97"/>
      <c r="AF97"/>
    </row>
    <row r="98" spans="1:32" ht="15" x14ac:dyDescent="0.25">
      <c r="A98" s="127"/>
      <c r="B98" s="127" t="s">
        <v>231</v>
      </c>
      <c r="C98" s="127" t="s">
        <v>232</v>
      </c>
      <c r="D98" s="127"/>
      <c r="O98"/>
      <c r="P98"/>
      <c r="Q98"/>
      <c r="R98"/>
      <c r="S98"/>
      <c r="T98"/>
      <c r="U98"/>
      <c r="V98"/>
      <c r="W98"/>
      <c r="X98"/>
      <c r="Y98"/>
      <c r="Z98"/>
      <c r="AA98"/>
      <c r="AB98"/>
      <c r="AC98"/>
      <c r="AD98"/>
      <c r="AE98"/>
      <c r="AF98"/>
    </row>
    <row r="99" spans="1:32" ht="15.75" x14ac:dyDescent="0.25">
      <c r="A99" s="127" t="s">
        <v>233</v>
      </c>
      <c r="B99" s="127">
        <v>1</v>
      </c>
      <c r="C99" s="127">
        <v>1</v>
      </c>
      <c r="D99" s="127">
        <v>1</v>
      </c>
      <c r="O99"/>
      <c r="P99"/>
      <c r="Q99"/>
      <c r="R99"/>
      <c r="S99"/>
      <c r="T99"/>
      <c r="U99"/>
      <c r="V99"/>
      <c r="W99"/>
      <c r="X99"/>
      <c r="Y99"/>
      <c r="Z99"/>
      <c r="AA99"/>
      <c r="AB99"/>
      <c r="AC99"/>
      <c r="AD99"/>
      <c r="AE99"/>
      <c r="AF99"/>
    </row>
    <row r="100" spans="1:32" ht="15.75" x14ac:dyDescent="0.25">
      <c r="A100" s="127" t="s">
        <v>234</v>
      </c>
      <c r="B100" s="127">
        <v>0.85</v>
      </c>
      <c r="C100" s="127">
        <v>0.85</v>
      </c>
      <c r="D100" s="127">
        <v>2</v>
      </c>
      <c r="O100"/>
      <c r="P100"/>
      <c r="Q100"/>
      <c r="R100"/>
      <c r="S100"/>
      <c r="T100"/>
      <c r="U100"/>
      <c r="V100"/>
      <c r="W100"/>
      <c r="X100"/>
      <c r="Y100"/>
      <c r="Z100"/>
      <c r="AA100"/>
      <c r="AB100"/>
      <c r="AC100"/>
      <c r="AD100"/>
      <c r="AE100"/>
      <c r="AF100"/>
    </row>
    <row r="101" spans="1:32" ht="15.75" x14ac:dyDescent="0.25">
      <c r="A101" s="127" t="s">
        <v>235</v>
      </c>
      <c r="B101" s="127">
        <v>0.7</v>
      </c>
      <c r="C101" s="127">
        <v>0.7</v>
      </c>
      <c r="D101" s="127">
        <v>3</v>
      </c>
      <c r="O101"/>
      <c r="P101"/>
      <c r="Q101"/>
      <c r="R101"/>
      <c r="S101"/>
      <c r="T101"/>
      <c r="U101"/>
      <c r="V101"/>
      <c r="W101"/>
      <c r="X101"/>
      <c r="Y101"/>
      <c r="Z101"/>
      <c r="AA101"/>
      <c r="AB101"/>
      <c r="AC101"/>
      <c r="AD101"/>
      <c r="AE101"/>
      <c r="AF101"/>
    </row>
    <row r="102" spans="1:32" ht="15.75" x14ac:dyDescent="0.25">
      <c r="A102" s="127" t="s">
        <v>236</v>
      </c>
      <c r="B102" s="136" t="s">
        <v>237</v>
      </c>
      <c r="C102" s="127">
        <v>0.5</v>
      </c>
      <c r="D102" s="127">
        <v>4</v>
      </c>
      <c r="O102"/>
      <c r="P102"/>
      <c r="Q102"/>
      <c r="R102"/>
      <c r="S102"/>
      <c r="T102"/>
      <c r="U102"/>
      <c r="V102"/>
      <c r="W102"/>
      <c r="X102"/>
      <c r="Y102"/>
      <c r="Z102"/>
      <c r="AA102"/>
      <c r="AB102"/>
      <c r="AC102"/>
      <c r="AD102"/>
      <c r="AE102"/>
      <c r="AF102"/>
    </row>
    <row r="103" spans="1:32" ht="15" x14ac:dyDescent="0.25">
      <c r="O103"/>
      <c r="P103"/>
      <c r="Q103"/>
      <c r="R103"/>
      <c r="S103"/>
      <c r="T103"/>
      <c r="U103"/>
      <c r="V103"/>
      <c r="W103"/>
      <c r="X103"/>
      <c r="Y103"/>
      <c r="Z103"/>
      <c r="AA103"/>
      <c r="AB103"/>
      <c r="AC103"/>
      <c r="AD103"/>
      <c r="AE103"/>
      <c r="AF103"/>
    </row>
    <row r="104" spans="1:32" ht="15" x14ac:dyDescent="0.25">
      <c r="O104"/>
      <c r="P104"/>
      <c r="Q104"/>
      <c r="R104"/>
      <c r="S104"/>
      <c r="T104"/>
      <c r="U104"/>
      <c r="V104"/>
      <c r="W104"/>
      <c r="X104"/>
      <c r="Y104"/>
      <c r="Z104"/>
      <c r="AA104"/>
      <c r="AB104"/>
      <c r="AC104"/>
      <c r="AD104"/>
      <c r="AE104"/>
      <c r="AF104"/>
    </row>
    <row r="105" spans="1:32" ht="15" x14ac:dyDescent="0.25">
      <c r="B105" s="137"/>
      <c r="C105" s="415" t="s">
        <v>231</v>
      </c>
      <c r="D105" s="415"/>
      <c r="E105" s="137"/>
      <c r="O105"/>
      <c r="P105"/>
      <c r="Q105"/>
      <c r="R105"/>
      <c r="S105"/>
      <c r="T105"/>
      <c r="U105"/>
      <c r="V105"/>
      <c r="W105"/>
      <c r="X105"/>
      <c r="Y105"/>
      <c r="Z105"/>
      <c r="AA105"/>
      <c r="AB105"/>
      <c r="AC105"/>
      <c r="AD105"/>
      <c r="AE105"/>
      <c r="AF105"/>
    </row>
    <row r="106" spans="1:32" ht="15" x14ac:dyDescent="0.25">
      <c r="A106" s="138" t="s">
        <v>317</v>
      </c>
      <c r="B106" s="121" t="s">
        <v>324</v>
      </c>
      <c r="C106" s="121" t="s">
        <v>320</v>
      </c>
      <c r="D106" s="416" t="s">
        <v>3</v>
      </c>
      <c r="E106" s="416"/>
      <c r="O106"/>
      <c r="P106"/>
      <c r="Q106"/>
      <c r="R106"/>
      <c r="S106"/>
      <c r="T106"/>
      <c r="U106"/>
      <c r="V106"/>
      <c r="W106"/>
      <c r="X106"/>
      <c r="Y106"/>
      <c r="Z106"/>
      <c r="AA106"/>
      <c r="AB106"/>
      <c r="AC106"/>
      <c r="AD106"/>
      <c r="AE106"/>
      <c r="AF106"/>
    </row>
    <row r="107" spans="1:32" ht="15" x14ac:dyDescent="0.25">
      <c r="D107" s="139" t="s">
        <v>322</v>
      </c>
      <c r="E107" s="139" t="s">
        <v>323</v>
      </c>
      <c r="O107"/>
      <c r="P107"/>
      <c r="Q107"/>
      <c r="R107"/>
      <c r="S107"/>
      <c r="T107"/>
      <c r="U107"/>
      <c r="V107"/>
      <c r="W107"/>
      <c r="X107"/>
      <c r="Y107"/>
      <c r="Z107"/>
      <c r="AA107"/>
      <c r="AB107"/>
      <c r="AC107"/>
      <c r="AD107"/>
      <c r="AE107"/>
      <c r="AF107"/>
    </row>
    <row r="108" spans="1:32" x14ac:dyDescent="0.25">
      <c r="A108" s="121" t="s">
        <v>318</v>
      </c>
      <c r="B108" s="140" t="e">
        <f>5*#REF!/COS(#REF!)</f>
        <v>#REF!</v>
      </c>
      <c r="C108" s="140" t="e">
        <f>5*#REF!</f>
        <v>#REF!</v>
      </c>
      <c r="D108" s="140" t="e">
        <f>(5+7)*#REF!</f>
        <v>#REF!</v>
      </c>
      <c r="E108" s="140" t="e">
        <f>(7+8)*#REF!</f>
        <v>#REF!</v>
      </c>
    </row>
    <row r="109" spans="1:32" x14ac:dyDescent="0.25">
      <c r="A109" s="121" t="s">
        <v>319</v>
      </c>
      <c r="B109" s="140"/>
      <c r="C109" s="140" t="e">
        <f>5*#REF!</f>
        <v>#REF!</v>
      </c>
      <c r="D109" s="140" t="e">
        <f>5*#REF!</f>
        <v>#REF!</v>
      </c>
      <c r="E109" s="140" t="e">
        <f>5*#REF!</f>
        <v>#REF!</v>
      </c>
    </row>
    <row r="110" spans="1:32" x14ac:dyDescent="0.25">
      <c r="A110" s="121" t="s">
        <v>321</v>
      </c>
      <c r="B110" s="140"/>
      <c r="C110" s="140" t="e">
        <f>10*#REF!</f>
        <v>#REF!</v>
      </c>
      <c r="D110" s="140"/>
      <c r="E110" s="140"/>
    </row>
    <row r="111" spans="1:32" x14ac:dyDescent="0.25">
      <c r="A111" s="121" t="s">
        <v>327</v>
      </c>
      <c r="B111" s="140"/>
      <c r="C111" s="140" t="e">
        <f>4*#REF!</f>
        <v>#REF!</v>
      </c>
      <c r="D111" s="140"/>
      <c r="E111" s="140"/>
    </row>
    <row r="112" spans="1:32" x14ac:dyDescent="0.25">
      <c r="A112" s="121" t="s">
        <v>325</v>
      </c>
      <c r="B112" s="140"/>
      <c r="C112" s="140"/>
      <c r="D112" s="140" t="e">
        <f>5*#REF!</f>
        <v>#REF!</v>
      </c>
      <c r="E112" s="140" t="e">
        <f>7*#REF!</f>
        <v>#REF!</v>
      </c>
    </row>
    <row r="113" spans="1:6" x14ac:dyDescent="0.25">
      <c r="A113" s="121" t="s">
        <v>326</v>
      </c>
      <c r="B113" s="140" t="e">
        <f>1.5*#REF!</f>
        <v>#REF!</v>
      </c>
      <c r="C113" s="140"/>
      <c r="D113" s="140"/>
      <c r="E113" s="140"/>
    </row>
    <row r="116" spans="1:6" x14ac:dyDescent="0.25">
      <c r="B116" s="56" t="s">
        <v>329</v>
      </c>
      <c r="C116" s="56" t="s">
        <v>2</v>
      </c>
      <c r="D116" s="56" t="s">
        <v>3</v>
      </c>
      <c r="E116" s="56" t="s">
        <v>291</v>
      </c>
      <c r="F116" s="56" t="s">
        <v>292</v>
      </c>
    </row>
    <row r="117" spans="1:6" x14ac:dyDescent="0.25">
      <c r="A117" s="121" t="s">
        <v>328</v>
      </c>
      <c r="B117" s="114" t="e">
        <f>IF(AND(#REF!,#REF!&lt;420),D112*2+B113,E112*2+B113)</f>
        <v>#REF!</v>
      </c>
      <c r="C117" s="114" t="e">
        <f>IF(AND(#REF!,#REF!&lt;420),D112*2+IF(Input!#REF!=2,Dati!C109,0),E112*2+IF(Input!#REF!=2,Dati!C109,0))</f>
        <v>#REF!</v>
      </c>
      <c r="D117" s="114" t="e">
        <f>IF(AND(#REF!,#REF!&lt;420),D112*2+IF(Input!#REF!=2,Dati!D109,0),E112*2+IF(Input!#REF!=2,Dati!D109,0))</f>
        <v>#REF!</v>
      </c>
      <c r="E117" s="114" t="e">
        <f>B117</f>
        <v>#REF!</v>
      </c>
      <c r="F117" s="114" t="e">
        <f>C117</f>
        <v>#REF!</v>
      </c>
    </row>
    <row r="118" spans="1:6" x14ac:dyDescent="0.25">
      <c r="B118" s="56"/>
      <c r="C118" s="56"/>
      <c r="D118" s="56"/>
      <c r="E118" s="56"/>
    </row>
  </sheetData>
  <sheetProtection selectLockedCells="1"/>
  <dataConsolidate link="1"/>
  <mergeCells count="2">
    <mergeCell ref="C105:D105"/>
    <mergeCell ref="D106:E106"/>
  </mergeCells>
  <phoneticPr fontId="76" type="noConversion"/>
  <pageMargins left="0.75" right="0.75" top="1" bottom="1" header="0.5" footer="0.5"/>
  <pageSetup paperSize="9" orientation="portrait" horizontalDpi="4294967293" r:id="rId1"/>
  <headerFooter alignWithMargins="0"/>
  <drawing r:id="rId2"/>
  <tableParts count="5">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4BF5-D82C-41B7-AC01-6D3773F9F148}">
  <sheetPr codeName="shLenguagesDB">
    <tabColor theme="6" tint="0.59999389629810485"/>
  </sheetPr>
  <dimension ref="A2:V257"/>
  <sheetViews>
    <sheetView topLeftCell="C25" zoomScale="85" zoomScaleNormal="85" workbookViewId="0">
      <selection activeCell="C29" sqref="C29"/>
    </sheetView>
  </sheetViews>
  <sheetFormatPr defaultColWidth="0" defaultRowHeight="15" x14ac:dyDescent="0.25"/>
  <cols>
    <col min="1" max="1" width="2.85546875" style="116" customWidth="1"/>
    <col min="2" max="2" width="13.7109375" style="116" customWidth="1"/>
    <col min="3" max="3" width="81.140625" style="118" customWidth="1"/>
    <col min="4" max="4" width="81.7109375" style="118" customWidth="1"/>
    <col min="5" max="5" width="96.28515625" style="118" customWidth="1"/>
    <col min="6" max="6" width="91.28515625" style="118" customWidth="1"/>
    <col min="7" max="7" width="89.7109375" style="118" customWidth="1"/>
    <col min="8" max="8" width="8.85546875" style="118" customWidth="1"/>
    <col min="9" max="9" width="2.85546875" style="116" hidden="1" customWidth="1"/>
    <col min="10" max="10" width="11" style="116" hidden="1" customWidth="1"/>
    <col min="11" max="16" width="28.5703125" style="118" hidden="1" customWidth="1"/>
    <col min="17" max="17" width="3.42578125" style="116" hidden="1" customWidth="1"/>
    <col min="18" max="22" width="0" style="116" hidden="1" customWidth="1"/>
    <col min="23" max="16384" width="9.140625" style="116" hidden="1"/>
  </cols>
  <sheetData>
    <row r="2" spans="2:22" ht="15.75" thickBot="1" x14ac:dyDescent="0.3">
      <c r="C2" s="306" t="s">
        <v>479</v>
      </c>
      <c r="D2" s="306"/>
      <c r="E2" s="306"/>
      <c r="F2" s="306"/>
      <c r="G2" s="306"/>
      <c r="H2" s="117"/>
      <c r="K2"/>
      <c r="L2"/>
      <c r="M2"/>
      <c r="N2"/>
      <c r="O2"/>
      <c r="P2" s="117"/>
      <c r="Q2"/>
      <c r="R2"/>
      <c r="S2"/>
      <c r="T2"/>
      <c r="U2"/>
      <c r="V2"/>
    </row>
    <row r="3" spans="2:22" x14ac:dyDescent="0.25">
      <c r="K3"/>
      <c r="L3"/>
      <c r="M3"/>
      <c r="N3"/>
      <c r="O3"/>
      <c r="Q3"/>
      <c r="R3"/>
      <c r="S3"/>
      <c r="T3"/>
      <c r="U3"/>
      <c r="V3"/>
    </row>
    <row r="4" spans="2:22" x14ac:dyDescent="0.25">
      <c r="C4" s="118" t="s">
        <v>470</v>
      </c>
      <c r="D4" s="118" t="s">
        <v>444</v>
      </c>
      <c r="E4" s="118" t="s">
        <v>474</v>
      </c>
      <c r="F4" s="118" t="s">
        <v>473</v>
      </c>
      <c r="G4" s="118" t="s">
        <v>475</v>
      </c>
      <c r="K4"/>
      <c r="L4"/>
      <c r="M4"/>
      <c r="N4"/>
      <c r="O4"/>
      <c r="Q4"/>
      <c r="R4"/>
      <c r="S4"/>
      <c r="T4"/>
      <c r="U4"/>
      <c r="V4"/>
    </row>
    <row r="5" spans="2:22" x14ac:dyDescent="0.25">
      <c r="Q5"/>
      <c r="R5"/>
      <c r="S5"/>
      <c r="T5"/>
      <c r="U5"/>
      <c r="V5"/>
    </row>
    <row r="6" spans="2:22" ht="15.75" thickBot="1" x14ac:dyDescent="0.3">
      <c r="C6" s="306" t="s">
        <v>471</v>
      </c>
      <c r="D6" s="306"/>
      <c r="E6" s="306"/>
      <c r="F6" s="306"/>
      <c r="G6" s="306"/>
      <c r="H6" s="117"/>
      <c r="P6" s="117"/>
      <c r="Q6"/>
      <c r="R6"/>
      <c r="S6"/>
      <c r="T6"/>
      <c r="U6"/>
      <c r="V6"/>
    </row>
    <row r="7" spans="2:22" x14ac:dyDescent="0.25">
      <c r="Q7"/>
      <c r="R7"/>
      <c r="S7"/>
      <c r="T7"/>
      <c r="U7"/>
      <c r="V7"/>
    </row>
    <row r="8" spans="2:22" x14ac:dyDescent="0.25">
      <c r="B8" s="116" t="s">
        <v>480</v>
      </c>
      <c r="C8" s="118" t="s">
        <v>470</v>
      </c>
      <c r="D8" s="118" t="s">
        <v>444</v>
      </c>
      <c r="E8" s="118" t="s">
        <v>474</v>
      </c>
      <c r="F8" s="118" t="s">
        <v>473</v>
      </c>
      <c r="G8" s="118" t="s">
        <v>475</v>
      </c>
      <c r="H8" s="118" t="s">
        <v>481</v>
      </c>
      <c r="Q8"/>
      <c r="R8"/>
      <c r="S8"/>
      <c r="T8"/>
      <c r="U8"/>
      <c r="V8"/>
    </row>
    <row r="9" spans="2:22" x14ac:dyDescent="0.25">
      <c r="B9" s="116">
        <v>1</v>
      </c>
      <c r="C9" s="118" t="s">
        <v>472</v>
      </c>
      <c r="D9" s="118" t="s">
        <v>443</v>
      </c>
      <c r="E9" s="118" t="s">
        <v>476</v>
      </c>
      <c r="F9" s="118" t="s">
        <v>478</v>
      </c>
      <c r="G9" s="118" t="s">
        <v>477</v>
      </c>
    </row>
    <row r="10" spans="2:22" x14ac:dyDescent="0.25">
      <c r="B10" s="116">
        <v>2</v>
      </c>
      <c r="C10" s="119" t="s">
        <v>717</v>
      </c>
      <c r="D10" s="119" t="s">
        <v>717</v>
      </c>
      <c r="E10" s="119" t="s">
        <v>717</v>
      </c>
      <c r="F10" s="119" t="s">
        <v>717</v>
      </c>
      <c r="G10" s="119" t="s">
        <v>717</v>
      </c>
    </row>
    <row r="11" spans="2:22" ht="30" x14ac:dyDescent="0.25">
      <c r="B11" s="116">
        <v>3</v>
      </c>
      <c r="C11" s="119" t="s">
        <v>694</v>
      </c>
      <c r="D11" s="119" t="s">
        <v>693</v>
      </c>
      <c r="E11" s="119" t="s">
        <v>695</v>
      </c>
      <c r="F11" s="119" t="s">
        <v>696</v>
      </c>
      <c r="G11" s="119" t="s">
        <v>697</v>
      </c>
    </row>
    <row r="12" spans="2:22" x14ac:dyDescent="0.25">
      <c r="B12" s="116">
        <v>4</v>
      </c>
      <c r="C12" s="119" t="s">
        <v>482</v>
      </c>
      <c r="D12" s="119" t="s">
        <v>445</v>
      </c>
      <c r="E12" s="119" t="s">
        <v>490</v>
      </c>
      <c r="F12" s="119" t="s">
        <v>498</v>
      </c>
      <c r="G12" s="119" t="s">
        <v>506</v>
      </c>
    </row>
    <row r="13" spans="2:22" ht="240" x14ac:dyDescent="0.25">
      <c r="B13" s="116">
        <v>5</v>
      </c>
      <c r="C13" s="119" t="s">
        <v>483</v>
      </c>
      <c r="D13" s="119" t="s">
        <v>446</v>
      </c>
      <c r="E13" s="119" t="s">
        <v>491</v>
      </c>
      <c r="F13" s="119" t="s">
        <v>499</v>
      </c>
      <c r="G13" s="119" t="s">
        <v>507</v>
      </c>
    </row>
    <row r="14" spans="2:22" x14ac:dyDescent="0.25">
      <c r="B14" s="116">
        <v>6</v>
      </c>
      <c r="C14" s="119" t="s">
        <v>484</v>
      </c>
      <c r="D14" s="119" t="s">
        <v>447</v>
      </c>
      <c r="E14" s="119" t="s">
        <v>492</v>
      </c>
      <c r="F14" s="119" t="s">
        <v>500</v>
      </c>
      <c r="G14" s="119" t="s">
        <v>508</v>
      </c>
    </row>
    <row r="15" spans="2:22" ht="60" x14ac:dyDescent="0.25">
      <c r="B15" s="116">
        <v>7</v>
      </c>
      <c r="C15" s="119" t="s">
        <v>485</v>
      </c>
      <c r="D15" s="119" t="s">
        <v>448</v>
      </c>
      <c r="E15" s="119" t="s">
        <v>493</v>
      </c>
      <c r="F15" s="119" t="s">
        <v>501</v>
      </c>
      <c r="G15" s="119" t="s">
        <v>509</v>
      </c>
    </row>
    <row r="16" spans="2:22" x14ac:dyDescent="0.25">
      <c r="B16" s="116">
        <v>8</v>
      </c>
      <c r="C16" s="119" t="s">
        <v>486</v>
      </c>
      <c r="D16" s="119" t="s">
        <v>449</v>
      </c>
      <c r="E16" s="119" t="s">
        <v>494</v>
      </c>
      <c r="F16" s="119" t="s">
        <v>502</v>
      </c>
      <c r="G16" s="119" t="s">
        <v>510</v>
      </c>
    </row>
    <row r="17" spans="2:7" ht="210" x14ac:dyDescent="0.25">
      <c r="B17" s="116">
        <v>9</v>
      </c>
      <c r="C17" s="119" t="s">
        <v>487</v>
      </c>
      <c r="D17" s="119" t="s">
        <v>450</v>
      </c>
      <c r="E17" s="119" t="s">
        <v>495</v>
      </c>
      <c r="F17" s="119" t="s">
        <v>503</v>
      </c>
      <c r="G17" s="119" t="s">
        <v>511</v>
      </c>
    </row>
    <row r="18" spans="2:7" x14ac:dyDescent="0.25">
      <c r="B18" s="116">
        <v>10</v>
      </c>
      <c r="C18" s="119" t="s">
        <v>488</v>
      </c>
      <c r="D18" s="119" t="s">
        <v>451</v>
      </c>
      <c r="E18" s="119" t="s">
        <v>496</v>
      </c>
      <c r="F18" s="119" t="s">
        <v>504</v>
      </c>
      <c r="G18" s="119" t="s">
        <v>512</v>
      </c>
    </row>
    <row r="19" spans="2:7" ht="405" x14ac:dyDescent="0.25">
      <c r="B19" s="116">
        <v>11</v>
      </c>
      <c r="C19" s="119" t="s">
        <v>489</v>
      </c>
      <c r="D19" s="119" t="s">
        <v>452</v>
      </c>
      <c r="E19" s="119" t="s">
        <v>497</v>
      </c>
      <c r="F19" s="119" t="s">
        <v>505</v>
      </c>
      <c r="G19" s="119" t="s">
        <v>513</v>
      </c>
    </row>
    <row r="20" spans="2:7" x14ac:dyDescent="0.25">
      <c r="B20" s="116">
        <v>12</v>
      </c>
      <c r="C20" s="119" t="s">
        <v>514</v>
      </c>
      <c r="D20" s="119" t="s">
        <v>453</v>
      </c>
      <c r="E20" s="119" t="s">
        <v>515</v>
      </c>
      <c r="F20" s="119" t="s">
        <v>516</v>
      </c>
      <c r="G20" s="119" t="s">
        <v>517</v>
      </c>
    </row>
    <row r="21" spans="2:7" ht="90" x14ac:dyDescent="0.25">
      <c r="B21" s="116">
        <v>13</v>
      </c>
      <c r="C21" s="119" t="s">
        <v>518</v>
      </c>
      <c r="D21" s="119" t="s">
        <v>454</v>
      </c>
      <c r="E21" s="119" t="s">
        <v>519</v>
      </c>
      <c r="F21" s="119" t="s">
        <v>520</v>
      </c>
      <c r="G21" s="119" t="s">
        <v>521</v>
      </c>
    </row>
    <row r="22" spans="2:7" x14ac:dyDescent="0.25">
      <c r="B22" s="116">
        <v>14</v>
      </c>
      <c r="C22" s="119" t="s">
        <v>522</v>
      </c>
      <c r="D22" s="119" t="s">
        <v>455</v>
      </c>
      <c r="E22" s="119" t="s">
        <v>523</v>
      </c>
      <c r="F22" s="119" t="s">
        <v>524</v>
      </c>
      <c r="G22" s="119" t="s">
        <v>525</v>
      </c>
    </row>
    <row r="23" spans="2:7" ht="150" x14ac:dyDescent="0.25">
      <c r="B23" s="116">
        <v>15</v>
      </c>
      <c r="C23" s="119" t="s">
        <v>526</v>
      </c>
      <c r="D23" s="119" t="s">
        <v>456</v>
      </c>
      <c r="E23" s="119" t="s">
        <v>527</v>
      </c>
      <c r="F23" s="119" t="s">
        <v>528</v>
      </c>
      <c r="G23" s="119" t="s">
        <v>529</v>
      </c>
    </row>
    <row r="24" spans="2:7" x14ac:dyDescent="0.25">
      <c r="B24" s="116">
        <v>16</v>
      </c>
      <c r="C24" s="119" t="s">
        <v>530</v>
      </c>
      <c r="D24" s="119" t="s">
        <v>457</v>
      </c>
      <c r="E24" s="119" t="s">
        <v>531</v>
      </c>
      <c r="F24" s="119" t="s">
        <v>532</v>
      </c>
      <c r="G24" s="119" t="s">
        <v>533</v>
      </c>
    </row>
    <row r="25" spans="2:7" ht="390" x14ac:dyDescent="0.25">
      <c r="B25" s="116">
        <v>17</v>
      </c>
      <c r="C25" s="119" t="s">
        <v>534</v>
      </c>
      <c r="D25" s="119" t="s">
        <v>458</v>
      </c>
      <c r="E25" s="119" t="s">
        <v>535</v>
      </c>
      <c r="F25" s="119" t="s">
        <v>536</v>
      </c>
      <c r="G25" s="119" t="s">
        <v>537</v>
      </c>
    </row>
    <row r="26" spans="2:7" x14ac:dyDescent="0.25">
      <c r="B26" s="116">
        <v>18</v>
      </c>
      <c r="C26" s="119" t="s">
        <v>538</v>
      </c>
      <c r="D26" s="119" t="s">
        <v>459</v>
      </c>
      <c r="E26" s="119" t="s">
        <v>539</v>
      </c>
      <c r="F26" s="119" t="s">
        <v>540</v>
      </c>
      <c r="G26" s="119" t="s">
        <v>541</v>
      </c>
    </row>
    <row r="27" spans="2:7" ht="90" x14ac:dyDescent="0.25">
      <c r="B27" s="116">
        <v>19</v>
      </c>
      <c r="C27" s="119" t="s">
        <v>542</v>
      </c>
      <c r="D27" s="119" t="s">
        <v>460</v>
      </c>
      <c r="E27" s="119" t="s">
        <v>543</v>
      </c>
      <c r="F27" s="119" t="s">
        <v>544</v>
      </c>
      <c r="G27" s="119" t="s">
        <v>545</v>
      </c>
    </row>
    <row r="28" spans="2:7" x14ac:dyDescent="0.25">
      <c r="B28" s="116">
        <v>20</v>
      </c>
      <c r="C28" s="119" t="s">
        <v>546</v>
      </c>
      <c r="D28" s="119" t="s">
        <v>461</v>
      </c>
      <c r="E28" s="119" t="s">
        <v>547</v>
      </c>
      <c r="F28" s="119" t="s">
        <v>548</v>
      </c>
      <c r="G28" s="119" t="s">
        <v>549</v>
      </c>
    </row>
    <row r="29" spans="2:7" ht="90" x14ac:dyDescent="0.25">
      <c r="B29" s="116">
        <v>21</v>
      </c>
      <c r="C29" s="119" t="s">
        <v>1085</v>
      </c>
      <c r="D29" s="119" t="s">
        <v>1089</v>
      </c>
      <c r="E29" s="119" t="s">
        <v>1086</v>
      </c>
      <c r="F29" s="119" t="s">
        <v>1087</v>
      </c>
      <c r="G29" s="119" t="s">
        <v>1088</v>
      </c>
    </row>
    <row r="30" spans="2:7" x14ac:dyDescent="0.25">
      <c r="B30" s="116">
        <v>22</v>
      </c>
      <c r="C30" s="119" t="s">
        <v>550</v>
      </c>
      <c r="D30" s="119" t="s">
        <v>462</v>
      </c>
      <c r="E30" s="119" t="s">
        <v>551</v>
      </c>
      <c r="F30" s="119" t="s">
        <v>552</v>
      </c>
      <c r="G30" s="119" t="s">
        <v>553</v>
      </c>
    </row>
    <row r="31" spans="2:7" ht="45" x14ac:dyDescent="0.25">
      <c r="B31" s="116">
        <v>23</v>
      </c>
      <c r="C31" s="119" t="s">
        <v>554</v>
      </c>
      <c r="D31" s="119" t="s">
        <v>463</v>
      </c>
      <c r="E31" s="119" t="s">
        <v>555</v>
      </c>
      <c r="F31" s="119" t="s">
        <v>556</v>
      </c>
      <c r="G31" s="119" t="s">
        <v>557</v>
      </c>
    </row>
    <row r="32" spans="2:7" x14ac:dyDescent="0.25">
      <c r="B32" s="116">
        <v>24</v>
      </c>
      <c r="C32" s="119" t="s">
        <v>558</v>
      </c>
      <c r="D32" s="119" t="s">
        <v>464</v>
      </c>
      <c r="E32" s="119" t="s">
        <v>559</v>
      </c>
      <c r="F32" s="119" t="s">
        <v>560</v>
      </c>
      <c r="G32" s="119" t="s">
        <v>561</v>
      </c>
    </row>
    <row r="33" spans="2:8" ht="60" x14ac:dyDescent="0.25">
      <c r="B33" s="116">
        <v>25</v>
      </c>
      <c r="C33" s="119" t="s">
        <v>562</v>
      </c>
      <c r="D33" s="119" t="s">
        <v>465</v>
      </c>
      <c r="E33" s="119" t="s">
        <v>563</v>
      </c>
      <c r="F33" s="119" t="s">
        <v>564</v>
      </c>
      <c r="G33" s="119" t="s">
        <v>565</v>
      </c>
    </row>
    <row r="34" spans="2:8" x14ac:dyDescent="0.25">
      <c r="B34" s="116">
        <v>26</v>
      </c>
      <c r="C34" s="119" t="s">
        <v>466</v>
      </c>
      <c r="D34" s="119" t="s">
        <v>466</v>
      </c>
      <c r="E34" s="119" t="s">
        <v>566</v>
      </c>
      <c r="F34" s="119" t="s">
        <v>567</v>
      </c>
      <c r="G34" s="119" t="s">
        <v>568</v>
      </c>
    </row>
    <row r="35" spans="2:8" x14ac:dyDescent="0.25">
      <c r="B35" s="116">
        <v>27</v>
      </c>
      <c r="C35" s="119" t="s">
        <v>569</v>
      </c>
      <c r="D35" s="119" t="s">
        <v>467</v>
      </c>
      <c r="E35" s="119" t="s">
        <v>570</v>
      </c>
      <c r="F35" s="119" t="s">
        <v>571</v>
      </c>
      <c r="G35" s="119" t="s">
        <v>572</v>
      </c>
    </row>
    <row r="36" spans="2:8" x14ac:dyDescent="0.25">
      <c r="B36" s="116">
        <v>28</v>
      </c>
      <c r="C36" s="119" t="s">
        <v>573</v>
      </c>
      <c r="D36" s="119" t="s">
        <v>469</v>
      </c>
      <c r="E36" s="119" t="s">
        <v>574</v>
      </c>
      <c r="F36" s="119" t="s">
        <v>575</v>
      </c>
      <c r="G36" s="119" t="s">
        <v>576</v>
      </c>
    </row>
    <row r="37" spans="2:8" x14ac:dyDescent="0.25">
      <c r="C37" s="119"/>
      <c r="D37" s="119"/>
      <c r="E37" s="119"/>
      <c r="F37" s="119"/>
      <c r="G37" s="119"/>
    </row>
    <row r="38" spans="2:8" ht="15.75" thickBot="1" x14ac:dyDescent="0.3">
      <c r="B38"/>
      <c r="C38" s="306" t="s">
        <v>577</v>
      </c>
      <c r="D38" s="306"/>
      <c r="E38" s="306"/>
      <c r="F38" s="306"/>
      <c r="G38" s="306"/>
    </row>
    <row r="39" spans="2:8" x14ac:dyDescent="0.25">
      <c r="B39"/>
      <c r="C39"/>
      <c r="D39"/>
      <c r="E39"/>
      <c r="F39"/>
      <c r="G39"/>
      <c r="H39"/>
    </row>
    <row r="40" spans="2:8" x14ac:dyDescent="0.25">
      <c r="B40" s="116" t="s">
        <v>480</v>
      </c>
      <c r="C40" s="118" t="s">
        <v>470</v>
      </c>
      <c r="D40" s="118" t="s">
        <v>444</v>
      </c>
      <c r="E40" s="118" t="s">
        <v>474</v>
      </c>
      <c r="F40" s="118" t="s">
        <v>473</v>
      </c>
      <c r="G40" s="118" t="s">
        <v>475</v>
      </c>
      <c r="H40" s="118" t="s">
        <v>481</v>
      </c>
    </row>
    <row r="41" spans="2:8" x14ac:dyDescent="0.25">
      <c r="B41" s="116">
        <v>1</v>
      </c>
      <c r="C41" s="118" t="s">
        <v>603</v>
      </c>
      <c r="D41" s="118" t="s">
        <v>578</v>
      </c>
      <c r="E41" s="118" t="s">
        <v>621</v>
      </c>
      <c r="F41" s="118" t="s">
        <v>644</v>
      </c>
      <c r="G41" s="118" t="s">
        <v>665</v>
      </c>
    </row>
    <row r="42" spans="2:8" x14ac:dyDescent="0.25">
      <c r="B42" s="116">
        <v>2</v>
      </c>
      <c r="C42" s="118" t="s">
        <v>257</v>
      </c>
      <c r="D42" s="118" t="s">
        <v>257</v>
      </c>
      <c r="E42" s="119" t="s">
        <v>622</v>
      </c>
      <c r="F42" s="119" t="s">
        <v>645</v>
      </c>
      <c r="G42" s="119" t="s">
        <v>666</v>
      </c>
    </row>
    <row r="43" spans="2:8" x14ac:dyDescent="0.25">
      <c r="B43" s="116">
        <v>3</v>
      </c>
      <c r="C43" s="118" t="s">
        <v>604</v>
      </c>
      <c r="D43" s="118" t="s">
        <v>582</v>
      </c>
      <c r="E43" s="119" t="s">
        <v>623</v>
      </c>
      <c r="F43" s="119" t="s">
        <v>646</v>
      </c>
      <c r="G43" s="119" t="s">
        <v>667</v>
      </c>
    </row>
    <row r="44" spans="2:8" x14ac:dyDescent="0.25">
      <c r="B44" s="116">
        <v>4</v>
      </c>
      <c r="C44" s="118" t="s">
        <v>605</v>
      </c>
      <c r="D44" s="118" t="s">
        <v>583</v>
      </c>
      <c r="E44" s="119" t="s">
        <v>624</v>
      </c>
      <c r="F44" s="119" t="s">
        <v>583</v>
      </c>
      <c r="G44" s="119" t="s">
        <v>605</v>
      </c>
    </row>
    <row r="45" spans="2:8" x14ac:dyDescent="0.25">
      <c r="B45" s="116">
        <v>5</v>
      </c>
      <c r="C45" s="118" t="s">
        <v>606</v>
      </c>
      <c r="D45" s="118" t="s">
        <v>580</v>
      </c>
      <c r="E45" s="119" t="s">
        <v>625</v>
      </c>
      <c r="F45" s="119" t="s">
        <v>647</v>
      </c>
      <c r="G45" s="119" t="s">
        <v>668</v>
      </c>
    </row>
    <row r="46" spans="2:8" x14ac:dyDescent="0.25">
      <c r="B46" s="116">
        <v>6</v>
      </c>
      <c r="C46" s="118" t="s">
        <v>259</v>
      </c>
      <c r="D46" s="118" t="s">
        <v>590</v>
      </c>
      <c r="E46" s="119" t="s">
        <v>626</v>
      </c>
      <c r="F46" s="119" t="s">
        <v>648</v>
      </c>
      <c r="G46" s="119" t="s">
        <v>669</v>
      </c>
    </row>
    <row r="47" spans="2:8" x14ac:dyDescent="0.25">
      <c r="B47" s="116">
        <v>7</v>
      </c>
      <c r="C47" s="118" t="s">
        <v>258</v>
      </c>
      <c r="D47" s="118" t="s">
        <v>584</v>
      </c>
      <c r="E47" s="119" t="s">
        <v>627</v>
      </c>
      <c r="F47" s="119" t="s">
        <v>584</v>
      </c>
      <c r="G47" s="119" t="s">
        <v>670</v>
      </c>
    </row>
    <row r="48" spans="2:8" x14ac:dyDescent="0.25">
      <c r="B48" s="116">
        <v>8</v>
      </c>
      <c r="C48" s="118" t="s">
        <v>279</v>
      </c>
      <c r="D48" s="118" t="s">
        <v>579</v>
      </c>
      <c r="E48" s="119" t="s">
        <v>628</v>
      </c>
      <c r="F48" s="119" t="s">
        <v>649</v>
      </c>
      <c r="G48" s="119" t="s">
        <v>671</v>
      </c>
    </row>
    <row r="49" spans="2:7" x14ac:dyDescent="0.25">
      <c r="B49" s="116">
        <v>9</v>
      </c>
      <c r="C49" s="118" t="s">
        <v>607</v>
      </c>
      <c r="D49" s="118" t="s">
        <v>581</v>
      </c>
      <c r="E49" s="119" t="s">
        <v>629</v>
      </c>
      <c r="F49" s="119" t="s">
        <v>581</v>
      </c>
      <c r="G49" s="119" t="s">
        <v>672</v>
      </c>
    </row>
    <row r="50" spans="2:7" x14ac:dyDescent="0.25">
      <c r="B50" s="116">
        <v>10</v>
      </c>
      <c r="C50" s="118" t="s">
        <v>608</v>
      </c>
      <c r="D50" s="118" t="s">
        <v>591</v>
      </c>
      <c r="E50" s="119" t="s">
        <v>630</v>
      </c>
      <c r="F50" s="119" t="s">
        <v>650</v>
      </c>
      <c r="G50" s="119" t="s">
        <v>673</v>
      </c>
    </row>
    <row r="51" spans="2:7" x14ac:dyDescent="0.25">
      <c r="B51" s="116">
        <v>11</v>
      </c>
      <c r="C51" s="118" t="s">
        <v>609</v>
      </c>
      <c r="D51" s="118" t="s">
        <v>585</v>
      </c>
      <c r="E51" s="119" t="s">
        <v>631</v>
      </c>
      <c r="F51" s="119" t="s">
        <v>651</v>
      </c>
      <c r="G51" s="119" t="s">
        <v>674</v>
      </c>
    </row>
    <row r="52" spans="2:7" x14ac:dyDescent="0.25">
      <c r="B52" s="116">
        <v>12</v>
      </c>
      <c r="C52" s="118" t="s">
        <v>610</v>
      </c>
      <c r="D52" s="118" t="s">
        <v>587</v>
      </c>
      <c r="E52" s="119" t="s">
        <v>632</v>
      </c>
      <c r="F52" s="119" t="s">
        <v>652</v>
      </c>
      <c r="G52" s="119" t="s">
        <v>675</v>
      </c>
    </row>
    <row r="53" spans="2:7" x14ac:dyDescent="0.25">
      <c r="B53" s="116">
        <v>13</v>
      </c>
      <c r="C53" s="118" t="s">
        <v>722</v>
      </c>
      <c r="D53" s="118" t="s">
        <v>721</v>
      </c>
      <c r="E53" s="118" t="s">
        <v>801</v>
      </c>
      <c r="F53" s="118" t="s">
        <v>802</v>
      </c>
      <c r="G53" s="118" t="s">
        <v>803</v>
      </c>
    </row>
    <row r="54" spans="2:7" x14ac:dyDescent="0.25">
      <c r="B54" s="116">
        <v>14</v>
      </c>
      <c r="C54" s="118" t="s">
        <v>12</v>
      </c>
      <c r="D54" s="118" t="s">
        <v>588</v>
      </c>
      <c r="E54" s="119" t="s">
        <v>633</v>
      </c>
      <c r="F54" s="119" t="s">
        <v>653</v>
      </c>
      <c r="G54" s="119" t="s">
        <v>676</v>
      </c>
    </row>
    <row r="55" spans="2:7" x14ac:dyDescent="0.25">
      <c r="B55" s="116">
        <v>15</v>
      </c>
      <c r="C55" s="118" t="s">
        <v>611</v>
      </c>
      <c r="D55" s="118" t="s">
        <v>596</v>
      </c>
      <c r="E55" s="119" t="s">
        <v>634</v>
      </c>
      <c r="F55" s="119" t="s">
        <v>596</v>
      </c>
      <c r="G55" s="119" t="s">
        <v>611</v>
      </c>
    </row>
    <row r="56" spans="2:7" x14ac:dyDescent="0.25">
      <c r="B56" s="116">
        <v>16</v>
      </c>
      <c r="C56" s="119" t="s">
        <v>612</v>
      </c>
      <c r="D56" s="119" t="s">
        <v>598</v>
      </c>
      <c r="E56" s="119" t="s">
        <v>635</v>
      </c>
      <c r="F56" s="119" t="s">
        <v>654</v>
      </c>
      <c r="G56" s="119" t="s">
        <v>677</v>
      </c>
    </row>
    <row r="57" spans="2:7" x14ac:dyDescent="0.25">
      <c r="B57" s="116">
        <v>17</v>
      </c>
      <c r="C57" s="119" t="s">
        <v>613</v>
      </c>
      <c r="D57" s="118" t="s">
        <v>599</v>
      </c>
      <c r="E57" s="119" t="s">
        <v>636</v>
      </c>
      <c r="F57" s="119" t="s">
        <v>655</v>
      </c>
      <c r="G57" s="119" t="s">
        <v>678</v>
      </c>
    </row>
    <row r="58" spans="2:7" x14ac:dyDescent="0.25">
      <c r="B58" s="116">
        <v>18</v>
      </c>
      <c r="C58" s="119" t="s">
        <v>614</v>
      </c>
      <c r="D58" s="119" t="s">
        <v>597</v>
      </c>
      <c r="E58" s="119" t="s">
        <v>637</v>
      </c>
      <c r="F58" s="119" t="s">
        <v>656</v>
      </c>
      <c r="G58" s="119" t="s">
        <v>679</v>
      </c>
    </row>
    <row r="59" spans="2:7" x14ac:dyDescent="0.25">
      <c r="B59" s="116">
        <v>19</v>
      </c>
      <c r="C59" s="119" t="s">
        <v>214</v>
      </c>
      <c r="D59" s="119" t="s">
        <v>600</v>
      </c>
      <c r="E59" s="119" t="s">
        <v>638</v>
      </c>
      <c r="F59" s="119" t="s">
        <v>657</v>
      </c>
      <c r="G59" s="119" t="s">
        <v>680</v>
      </c>
    </row>
    <row r="60" spans="2:7" x14ac:dyDescent="0.25">
      <c r="B60" s="116">
        <v>20</v>
      </c>
      <c r="C60" s="119" t="s">
        <v>13</v>
      </c>
      <c r="D60" s="119" t="s">
        <v>589</v>
      </c>
      <c r="E60" s="119" t="s">
        <v>639</v>
      </c>
      <c r="F60" s="119" t="s">
        <v>658</v>
      </c>
      <c r="G60" s="119" t="s">
        <v>681</v>
      </c>
    </row>
    <row r="61" spans="2:7" x14ac:dyDescent="0.25">
      <c r="B61" s="116">
        <v>21</v>
      </c>
      <c r="C61" s="119" t="s">
        <v>615</v>
      </c>
      <c r="D61" s="119" t="s">
        <v>592</v>
      </c>
      <c r="E61" s="119" t="s">
        <v>640</v>
      </c>
      <c r="F61" s="119" t="s">
        <v>659</v>
      </c>
      <c r="G61" s="119" t="s">
        <v>682</v>
      </c>
    </row>
    <row r="62" spans="2:7" x14ac:dyDescent="0.25">
      <c r="B62" s="116">
        <v>22</v>
      </c>
      <c r="C62" s="118" t="s">
        <v>715</v>
      </c>
      <c r="D62" s="118" t="s">
        <v>691</v>
      </c>
      <c r="E62" s="119" t="s">
        <v>593</v>
      </c>
      <c r="F62" s="119" t="s">
        <v>660</v>
      </c>
      <c r="G62" s="119" t="s">
        <v>616</v>
      </c>
    </row>
    <row r="63" spans="2:7" x14ac:dyDescent="0.25">
      <c r="B63" s="116">
        <v>23</v>
      </c>
      <c r="C63" s="119" t="s">
        <v>617</v>
      </c>
      <c r="D63" s="119" t="s">
        <v>595</v>
      </c>
      <c r="E63" s="119" t="s">
        <v>641</v>
      </c>
      <c r="F63" s="119" t="s">
        <v>661</v>
      </c>
      <c r="G63" s="119" t="s">
        <v>683</v>
      </c>
    </row>
    <row r="64" spans="2:7" x14ac:dyDescent="0.25">
      <c r="B64" s="116">
        <v>24</v>
      </c>
      <c r="C64" s="118" t="s">
        <v>732</v>
      </c>
      <c r="D64" s="118" t="s">
        <v>711</v>
      </c>
      <c r="E64" s="119" t="s">
        <v>594</v>
      </c>
      <c r="F64" s="119" t="s">
        <v>662</v>
      </c>
      <c r="G64" s="119" t="s">
        <v>618</v>
      </c>
    </row>
    <row r="65" spans="2:7" x14ac:dyDescent="0.25">
      <c r="B65" s="116">
        <v>25</v>
      </c>
      <c r="C65" s="119" t="s">
        <v>617</v>
      </c>
      <c r="D65" s="119" t="s">
        <v>595</v>
      </c>
      <c r="E65" s="119" t="s">
        <v>641</v>
      </c>
      <c r="F65" s="119" t="s">
        <v>661</v>
      </c>
      <c r="G65" s="119" t="s">
        <v>683</v>
      </c>
    </row>
    <row r="66" spans="2:7" x14ac:dyDescent="0.25">
      <c r="B66" s="116">
        <v>26</v>
      </c>
      <c r="C66" s="119" t="s">
        <v>619</v>
      </c>
      <c r="D66" s="119" t="s">
        <v>601</v>
      </c>
      <c r="E66" s="119" t="s">
        <v>642</v>
      </c>
      <c r="F66" s="119" t="s">
        <v>663</v>
      </c>
      <c r="G66" s="119" t="s">
        <v>684</v>
      </c>
    </row>
    <row r="67" spans="2:7" x14ac:dyDescent="0.25">
      <c r="B67" s="116">
        <v>27</v>
      </c>
      <c r="C67" s="118" t="s">
        <v>715</v>
      </c>
      <c r="D67" s="118" t="s">
        <v>691</v>
      </c>
      <c r="E67" s="118" t="s">
        <v>804</v>
      </c>
      <c r="F67" s="118" t="s">
        <v>805</v>
      </c>
      <c r="G67" s="118" t="s">
        <v>806</v>
      </c>
    </row>
    <row r="68" spans="2:7" x14ac:dyDescent="0.25">
      <c r="B68" s="116">
        <v>28</v>
      </c>
      <c r="C68" s="118" t="s">
        <v>620</v>
      </c>
      <c r="D68" s="118" t="s">
        <v>602</v>
      </c>
      <c r="E68" s="118" t="s">
        <v>643</v>
      </c>
      <c r="F68" s="118" t="s">
        <v>664</v>
      </c>
      <c r="G68" s="118" t="s">
        <v>620</v>
      </c>
    </row>
    <row r="69" spans="2:7" x14ac:dyDescent="0.25">
      <c r="B69" s="116">
        <v>29</v>
      </c>
      <c r="C69" s="118" t="s">
        <v>733</v>
      </c>
      <c r="D69" s="118" t="s">
        <v>687</v>
      </c>
      <c r="E69" s="118" t="s">
        <v>807</v>
      </c>
      <c r="F69" s="118" t="s">
        <v>808</v>
      </c>
      <c r="G69" s="118" t="s">
        <v>809</v>
      </c>
    </row>
    <row r="70" spans="2:7" x14ac:dyDescent="0.25">
      <c r="B70" s="116">
        <v>30</v>
      </c>
      <c r="C70" s="118" t="s">
        <v>686</v>
      </c>
      <c r="D70" s="118" t="s">
        <v>686</v>
      </c>
      <c r="E70" s="118" t="s">
        <v>810</v>
      </c>
      <c r="F70" s="118" t="s">
        <v>686</v>
      </c>
      <c r="G70" s="118" t="s">
        <v>686</v>
      </c>
    </row>
    <row r="71" spans="2:7" x14ac:dyDescent="0.25">
      <c r="B71" s="116">
        <v>31</v>
      </c>
      <c r="C71" s="118" t="s">
        <v>811</v>
      </c>
      <c r="D71" s="118" t="s">
        <v>688</v>
      </c>
      <c r="E71" s="118" t="s">
        <v>812</v>
      </c>
      <c r="F71" s="118" t="s">
        <v>813</v>
      </c>
      <c r="G71" s="118" t="s">
        <v>814</v>
      </c>
    </row>
    <row r="72" spans="2:7" x14ac:dyDescent="0.25">
      <c r="B72" s="116">
        <v>32</v>
      </c>
      <c r="C72" s="118" t="s">
        <v>732</v>
      </c>
      <c r="D72" s="118" t="s">
        <v>711</v>
      </c>
      <c r="E72" s="118" t="s">
        <v>815</v>
      </c>
      <c r="F72" s="118" t="s">
        <v>816</v>
      </c>
      <c r="G72" s="118" t="s">
        <v>817</v>
      </c>
    </row>
    <row r="73" spans="2:7" x14ac:dyDescent="0.25">
      <c r="B73" s="116">
        <v>33</v>
      </c>
      <c r="C73" s="118" t="s">
        <v>818</v>
      </c>
      <c r="D73" s="118" t="s">
        <v>716</v>
      </c>
      <c r="E73" s="118" t="s">
        <v>819</v>
      </c>
      <c r="F73" s="118" t="s">
        <v>820</v>
      </c>
      <c r="G73" s="118" t="s">
        <v>821</v>
      </c>
    </row>
    <row r="74" spans="2:7" x14ac:dyDescent="0.25">
      <c r="B74" s="116">
        <v>34</v>
      </c>
      <c r="C74" s="118" t="s">
        <v>733</v>
      </c>
      <c r="D74" s="118" t="s">
        <v>687</v>
      </c>
      <c r="E74" s="118" t="s">
        <v>807</v>
      </c>
      <c r="F74" s="118" t="s">
        <v>808</v>
      </c>
      <c r="G74" s="118" t="s">
        <v>809</v>
      </c>
    </row>
    <row r="75" spans="2:7" x14ac:dyDescent="0.25">
      <c r="B75" s="116">
        <v>35</v>
      </c>
      <c r="C75" s="118" t="s">
        <v>686</v>
      </c>
      <c r="D75" s="118" t="s">
        <v>686</v>
      </c>
      <c r="E75" s="118" t="s">
        <v>810</v>
      </c>
      <c r="F75" s="118" t="s">
        <v>686</v>
      </c>
      <c r="G75" s="118" t="s">
        <v>686</v>
      </c>
    </row>
    <row r="76" spans="2:7" x14ac:dyDescent="0.25">
      <c r="B76" s="116">
        <v>36</v>
      </c>
      <c r="C76" s="118" t="s">
        <v>822</v>
      </c>
      <c r="D76" s="118" t="s">
        <v>689</v>
      </c>
      <c r="E76" s="118" t="s">
        <v>823</v>
      </c>
      <c r="F76" s="118" t="s">
        <v>824</v>
      </c>
      <c r="G76" s="118" t="s">
        <v>825</v>
      </c>
    </row>
    <row r="77" spans="2:7" x14ac:dyDescent="0.25">
      <c r="B77" s="116">
        <v>37</v>
      </c>
      <c r="C77" s="118" t="s">
        <v>826</v>
      </c>
      <c r="D77" s="118" t="s">
        <v>701</v>
      </c>
      <c r="E77" s="118" t="s">
        <v>827</v>
      </c>
      <c r="F77" s="118" t="s">
        <v>828</v>
      </c>
      <c r="G77" s="118" t="s">
        <v>829</v>
      </c>
    </row>
    <row r="78" spans="2:7" x14ac:dyDescent="0.25">
      <c r="B78" s="116">
        <v>38</v>
      </c>
      <c r="C78" s="118" t="s">
        <v>830</v>
      </c>
      <c r="D78" s="118" t="s">
        <v>705</v>
      </c>
      <c r="E78" s="118" t="s">
        <v>831</v>
      </c>
      <c r="F78" s="118" t="s">
        <v>832</v>
      </c>
      <c r="G78" s="118" t="s">
        <v>833</v>
      </c>
    </row>
    <row r="79" spans="2:7" x14ac:dyDescent="0.25">
      <c r="B79" s="116">
        <v>39</v>
      </c>
      <c r="C79" s="118" t="s">
        <v>834</v>
      </c>
      <c r="D79" s="118" t="s">
        <v>699</v>
      </c>
      <c r="E79" s="118" t="s">
        <v>835</v>
      </c>
      <c r="F79" s="118" t="s">
        <v>836</v>
      </c>
      <c r="G79" s="118" t="s">
        <v>834</v>
      </c>
    </row>
    <row r="80" spans="2:7" x14ac:dyDescent="0.25">
      <c r="B80" s="116">
        <v>40</v>
      </c>
      <c r="C80" s="118" t="s">
        <v>837</v>
      </c>
      <c r="D80" s="120" t="s">
        <v>702</v>
      </c>
      <c r="E80" s="118" t="s">
        <v>838</v>
      </c>
      <c r="F80" s="118" t="s">
        <v>839</v>
      </c>
      <c r="G80" s="118" t="s">
        <v>840</v>
      </c>
    </row>
    <row r="81" spans="2:8" x14ac:dyDescent="0.25">
      <c r="B81" s="116">
        <v>41</v>
      </c>
      <c r="C81" s="118" t="s">
        <v>841</v>
      </c>
      <c r="D81" s="122" t="s">
        <v>703</v>
      </c>
      <c r="E81" s="118" t="s">
        <v>842</v>
      </c>
      <c r="F81" s="118" t="s">
        <v>843</v>
      </c>
      <c r="G81" s="118" t="s">
        <v>844</v>
      </c>
    </row>
    <row r="82" spans="2:8" x14ac:dyDescent="0.25">
      <c r="B82" s="116">
        <v>42</v>
      </c>
      <c r="C82" s="118" t="s">
        <v>845</v>
      </c>
      <c r="D82" s="120" t="s">
        <v>704</v>
      </c>
      <c r="E82" s="118" t="s">
        <v>846</v>
      </c>
      <c r="F82" s="118" t="s">
        <v>847</v>
      </c>
      <c r="G82" s="118" t="s">
        <v>848</v>
      </c>
    </row>
    <row r="83" spans="2:8" x14ac:dyDescent="0.25">
      <c r="B83" s="116">
        <v>43</v>
      </c>
      <c r="C83" s="118" t="s">
        <v>849</v>
      </c>
      <c r="D83" s="118" t="s">
        <v>698</v>
      </c>
      <c r="E83" s="118" t="s">
        <v>850</v>
      </c>
      <c r="F83" s="118" t="s">
        <v>851</v>
      </c>
      <c r="G83" s="118" t="s">
        <v>852</v>
      </c>
    </row>
    <row r="84" spans="2:8" x14ac:dyDescent="0.25">
      <c r="B84" s="116">
        <v>44</v>
      </c>
      <c r="C84" s="118" t="s">
        <v>834</v>
      </c>
      <c r="D84" s="122" t="s">
        <v>699</v>
      </c>
      <c r="E84" s="118" t="s">
        <v>835</v>
      </c>
      <c r="F84" s="118" t="s">
        <v>836</v>
      </c>
      <c r="G84" s="118" t="s">
        <v>834</v>
      </c>
    </row>
    <row r="85" spans="2:8" x14ac:dyDescent="0.25">
      <c r="B85" s="116">
        <v>45</v>
      </c>
      <c r="C85" s="118" t="s">
        <v>837</v>
      </c>
      <c r="D85" s="120" t="s">
        <v>702</v>
      </c>
      <c r="E85" s="118" t="s">
        <v>838</v>
      </c>
      <c r="F85" s="118" t="s">
        <v>839</v>
      </c>
      <c r="G85" s="118" t="s">
        <v>840</v>
      </c>
    </row>
    <row r="86" spans="2:8" x14ac:dyDescent="0.25">
      <c r="B86" s="116">
        <v>46</v>
      </c>
      <c r="C86" s="118" t="s">
        <v>841</v>
      </c>
      <c r="D86" s="122" t="s">
        <v>703</v>
      </c>
      <c r="E86" s="118" t="s">
        <v>842</v>
      </c>
      <c r="F86" s="118" t="s">
        <v>843</v>
      </c>
      <c r="G86" s="118" t="s">
        <v>844</v>
      </c>
    </row>
    <row r="87" spans="2:8" x14ac:dyDescent="0.25">
      <c r="B87" s="116">
        <v>47</v>
      </c>
      <c r="C87" s="118" t="s">
        <v>845</v>
      </c>
      <c r="D87" s="120" t="s">
        <v>704</v>
      </c>
      <c r="E87" s="118" t="s">
        <v>846</v>
      </c>
      <c r="F87" s="118" t="s">
        <v>847</v>
      </c>
      <c r="G87" s="118" t="s">
        <v>848</v>
      </c>
    </row>
    <row r="89" spans="2:8" ht="15.75" thickBot="1" x14ac:dyDescent="0.3">
      <c r="B89"/>
      <c r="C89" s="306" t="s">
        <v>706</v>
      </c>
      <c r="D89" s="306"/>
      <c r="E89" s="306"/>
      <c r="F89" s="306"/>
      <c r="G89" s="306"/>
    </row>
    <row r="90" spans="2:8" x14ac:dyDescent="0.25">
      <c r="B90"/>
      <c r="C90"/>
      <c r="D90"/>
      <c r="E90"/>
      <c r="F90"/>
      <c r="G90"/>
      <c r="H90"/>
    </row>
    <row r="91" spans="2:8" x14ac:dyDescent="0.25">
      <c r="B91" s="116" t="s">
        <v>480</v>
      </c>
      <c r="C91" s="118" t="s">
        <v>470</v>
      </c>
      <c r="D91" s="118" t="s">
        <v>444</v>
      </c>
      <c r="E91" s="118" t="s">
        <v>474</v>
      </c>
      <c r="F91" s="118" t="s">
        <v>473</v>
      </c>
      <c r="G91" s="118" t="s">
        <v>475</v>
      </c>
      <c r="H91" s="118" t="s">
        <v>481</v>
      </c>
    </row>
    <row r="92" spans="2:8" x14ac:dyDescent="0.25">
      <c r="B92" s="116">
        <v>1</v>
      </c>
      <c r="C92" s="118" t="s">
        <v>766</v>
      </c>
      <c r="D92" s="118" t="s">
        <v>778</v>
      </c>
      <c r="E92" s="118" t="s">
        <v>853</v>
      </c>
      <c r="F92" s="118" t="s">
        <v>854</v>
      </c>
      <c r="G92" s="118" t="s">
        <v>855</v>
      </c>
    </row>
    <row r="93" spans="2:8" x14ac:dyDescent="0.25">
      <c r="B93" s="116">
        <v>2</v>
      </c>
      <c r="C93" s="118" t="s">
        <v>715</v>
      </c>
      <c r="D93" s="118" t="s">
        <v>691</v>
      </c>
      <c r="E93" s="119" t="s">
        <v>804</v>
      </c>
      <c r="F93" s="119" t="s">
        <v>805</v>
      </c>
      <c r="G93" s="119" t="s">
        <v>806</v>
      </c>
    </row>
    <row r="94" spans="2:8" x14ac:dyDescent="0.25">
      <c r="B94" s="116">
        <v>3</v>
      </c>
      <c r="C94" s="118" t="s">
        <v>712</v>
      </c>
      <c r="D94" s="119" t="s">
        <v>707</v>
      </c>
      <c r="E94" s="119" t="s">
        <v>856</v>
      </c>
      <c r="F94" s="119" t="s">
        <v>857</v>
      </c>
      <c r="G94" s="119" t="s">
        <v>858</v>
      </c>
    </row>
    <row r="95" spans="2:8" x14ac:dyDescent="0.25">
      <c r="B95" s="116">
        <v>4</v>
      </c>
      <c r="C95" s="118" t="s">
        <v>239</v>
      </c>
      <c r="D95" s="118" t="s">
        <v>708</v>
      </c>
      <c r="E95" s="119" t="s">
        <v>859</v>
      </c>
      <c r="F95" s="119" t="s">
        <v>860</v>
      </c>
      <c r="G95" s="119" t="s">
        <v>861</v>
      </c>
    </row>
    <row r="96" spans="2:8" x14ac:dyDescent="0.25">
      <c r="B96" s="116">
        <v>5</v>
      </c>
      <c r="C96" s="118" t="s">
        <v>732</v>
      </c>
      <c r="D96" s="118" t="s">
        <v>711</v>
      </c>
      <c r="E96" s="119" t="s">
        <v>815</v>
      </c>
      <c r="F96" s="119" t="s">
        <v>816</v>
      </c>
      <c r="G96" s="119" t="s">
        <v>817</v>
      </c>
    </row>
    <row r="97" spans="2:7" x14ac:dyDescent="0.25">
      <c r="B97" s="116">
        <v>6</v>
      </c>
      <c r="C97" s="118" t="s">
        <v>713</v>
      </c>
      <c r="D97" s="119" t="s">
        <v>709</v>
      </c>
      <c r="E97" s="119" t="s">
        <v>862</v>
      </c>
      <c r="F97" s="119" t="s">
        <v>863</v>
      </c>
      <c r="G97" s="119" t="s">
        <v>864</v>
      </c>
    </row>
    <row r="98" spans="2:7" x14ac:dyDescent="0.25">
      <c r="B98" s="116">
        <v>7</v>
      </c>
      <c r="C98" s="118" t="s">
        <v>239</v>
      </c>
      <c r="D98" s="118" t="s">
        <v>708</v>
      </c>
      <c r="E98" s="119" t="s">
        <v>859</v>
      </c>
      <c r="F98" s="119" t="s">
        <v>860</v>
      </c>
      <c r="G98" s="119" t="s">
        <v>861</v>
      </c>
    </row>
    <row r="99" spans="2:7" x14ac:dyDescent="0.25">
      <c r="B99" s="116">
        <v>8</v>
      </c>
      <c r="C99" s="118" t="s">
        <v>714</v>
      </c>
      <c r="D99" s="118" t="s">
        <v>710</v>
      </c>
      <c r="E99" s="119" t="s">
        <v>865</v>
      </c>
      <c r="F99" s="119" t="s">
        <v>866</v>
      </c>
      <c r="G99" s="119" t="s">
        <v>867</v>
      </c>
    </row>
    <row r="100" spans="2:7" x14ac:dyDescent="0.25">
      <c r="B100" s="116">
        <v>9</v>
      </c>
      <c r="C100" s="118" t="s">
        <v>768</v>
      </c>
      <c r="D100" s="118" t="s">
        <v>765</v>
      </c>
      <c r="E100" s="119" t="s">
        <v>868</v>
      </c>
      <c r="F100" s="119" t="s">
        <v>869</v>
      </c>
      <c r="G100" s="119" t="s">
        <v>870</v>
      </c>
    </row>
    <row r="101" spans="2:7" x14ac:dyDescent="0.25">
      <c r="B101" s="116">
        <v>10</v>
      </c>
      <c r="C101" s="118" t="s">
        <v>767</v>
      </c>
      <c r="D101" s="118" t="s">
        <v>779</v>
      </c>
      <c r="E101" s="119" t="s">
        <v>871</v>
      </c>
      <c r="F101" s="119" t="s">
        <v>872</v>
      </c>
      <c r="G101" s="119" t="s">
        <v>873</v>
      </c>
    </row>
    <row r="102" spans="2:7" x14ac:dyDescent="0.25">
      <c r="B102" s="116">
        <v>11</v>
      </c>
      <c r="C102" s="118" t="s">
        <v>715</v>
      </c>
      <c r="D102" s="118" t="s">
        <v>691</v>
      </c>
      <c r="E102" s="119" t="s">
        <v>804</v>
      </c>
      <c r="F102" s="119" t="s">
        <v>805</v>
      </c>
      <c r="G102" s="119" t="s">
        <v>806</v>
      </c>
    </row>
    <row r="103" spans="2:7" x14ac:dyDescent="0.25">
      <c r="B103" s="116">
        <v>12</v>
      </c>
      <c r="C103" s="118" t="s">
        <v>712</v>
      </c>
      <c r="D103" s="119" t="s">
        <v>707</v>
      </c>
      <c r="E103" s="119" t="s">
        <v>856</v>
      </c>
      <c r="F103" s="119" t="s">
        <v>857</v>
      </c>
      <c r="G103" s="119" t="s">
        <v>858</v>
      </c>
    </row>
    <row r="104" spans="2:7" x14ac:dyDescent="0.25">
      <c r="B104" s="116">
        <v>13</v>
      </c>
      <c r="C104" s="118" t="s">
        <v>239</v>
      </c>
      <c r="D104" s="118" t="s">
        <v>708</v>
      </c>
      <c r="E104" s="119" t="s">
        <v>859</v>
      </c>
      <c r="F104" s="119" t="s">
        <v>860</v>
      </c>
      <c r="G104" s="119" t="s">
        <v>861</v>
      </c>
    </row>
    <row r="105" spans="2:7" x14ac:dyDescent="0.25">
      <c r="B105" s="116">
        <v>14</v>
      </c>
      <c r="C105" s="118" t="s">
        <v>732</v>
      </c>
      <c r="D105" s="118" t="s">
        <v>711</v>
      </c>
      <c r="E105" s="119" t="s">
        <v>815</v>
      </c>
      <c r="F105" s="119" t="s">
        <v>816</v>
      </c>
      <c r="G105" s="119" t="s">
        <v>817</v>
      </c>
    </row>
    <row r="106" spans="2:7" x14ac:dyDescent="0.25">
      <c r="B106" s="116">
        <v>15</v>
      </c>
      <c r="C106" s="118" t="s">
        <v>713</v>
      </c>
      <c r="D106" s="119" t="s">
        <v>709</v>
      </c>
      <c r="E106" s="119" t="s">
        <v>862</v>
      </c>
      <c r="F106" s="119" t="s">
        <v>863</v>
      </c>
      <c r="G106" s="119" t="s">
        <v>864</v>
      </c>
    </row>
    <row r="107" spans="2:7" x14ac:dyDescent="0.25">
      <c r="B107" s="116">
        <v>16</v>
      </c>
      <c r="C107" s="118" t="s">
        <v>239</v>
      </c>
      <c r="D107" s="118" t="s">
        <v>708</v>
      </c>
      <c r="E107" s="119" t="s">
        <v>859</v>
      </c>
      <c r="F107" s="119" t="s">
        <v>860</v>
      </c>
      <c r="G107" s="119" t="s">
        <v>861</v>
      </c>
    </row>
    <row r="108" spans="2:7" x14ac:dyDescent="0.25">
      <c r="B108" s="116">
        <v>17</v>
      </c>
      <c r="C108" s="118" t="s">
        <v>714</v>
      </c>
      <c r="D108" s="118" t="s">
        <v>710</v>
      </c>
      <c r="E108" s="119" t="s">
        <v>865</v>
      </c>
      <c r="F108" s="119" t="s">
        <v>866</v>
      </c>
      <c r="G108" s="119" t="s">
        <v>867</v>
      </c>
    </row>
    <row r="109" spans="2:7" x14ac:dyDescent="0.25">
      <c r="B109" s="116">
        <v>18</v>
      </c>
      <c r="C109" s="118" t="s">
        <v>768</v>
      </c>
      <c r="D109" s="118" t="s">
        <v>765</v>
      </c>
      <c r="E109" s="119" t="s">
        <v>868</v>
      </c>
      <c r="F109" s="119" t="s">
        <v>869</v>
      </c>
      <c r="G109" s="119" t="s">
        <v>870</v>
      </c>
    </row>
    <row r="110" spans="2:7" x14ac:dyDescent="0.25">
      <c r="B110" s="116">
        <v>19</v>
      </c>
      <c r="C110" s="119" t="s">
        <v>769</v>
      </c>
      <c r="D110" s="119" t="s">
        <v>777</v>
      </c>
      <c r="E110" s="119" t="s">
        <v>874</v>
      </c>
      <c r="F110" s="119" t="s">
        <v>875</v>
      </c>
      <c r="G110" s="119" t="s">
        <v>876</v>
      </c>
    </row>
    <row r="111" spans="2:7" x14ac:dyDescent="0.25">
      <c r="B111" s="116">
        <v>20</v>
      </c>
      <c r="C111" s="119" t="s">
        <v>877</v>
      </c>
      <c r="D111" s="119" t="s">
        <v>780</v>
      </c>
      <c r="E111" s="119" t="s">
        <v>878</v>
      </c>
      <c r="F111" s="119" t="s">
        <v>879</v>
      </c>
      <c r="G111" s="119" t="s">
        <v>880</v>
      </c>
    </row>
    <row r="112" spans="2:7" x14ac:dyDescent="0.25">
      <c r="B112" s="116">
        <v>21</v>
      </c>
      <c r="C112" s="119" t="s">
        <v>881</v>
      </c>
      <c r="D112" s="118" t="s">
        <v>781</v>
      </c>
      <c r="E112" s="119" t="s">
        <v>882</v>
      </c>
      <c r="F112" s="119" t="s">
        <v>883</v>
      </c>
      <c r="G112" s="119" t="s">
        <v>884</v>
      </c>
    </row>
    <row r="113" spans="2:7" x14ac:dyDescent="0.25">
      <c r="B113" s="116">
        <v>22</v>
      </c>
      <c r="C113" s="119" t="s">
        <v>885</v>
      </c>
      <c r="D113" s="119" t="s">
        <v>886</v>
      </c>
      <c r="E113" s="119" t="s">
        <v>887</v>
      </c>
      <c r="F113" s="119" t="s">
        <v>888</v>
      </c>
      <c r="G113" s="119" t="s">
        <v>889</v>
      </c>
    </row>
    <row r="114" spans="2:7" x14ac:dyDescent="0.25">
      <c r="B114" s="116">
        <v>23</v>
      </c>
      <c r="C114" s="119" t="s">
        <v>877</v>
      </c>
      <c r="D114" s="119" t="s">
        <v>780</v>
      </c>
      <c r="E114" s="119" t="s">
        <v>878</v>
      </c>
      <c r="F114" s="119" t="s">
        <v>879</v>
      </c>
      <c r="G114" s="119" t="s">
        <v>880</v>
      </c>
    </row>
    <row r="115" spans="2:7" x14ac:dyDescent="0.25">
      <c r="B115" s="116">
        <v>24</v>
      </c>
      <c r="C115" s="119" t="s">
        <v>890</v>
      </c>
      <c r="D115" s="118" t="s">
        <v>782</v>
      </c>
      <c r="E115" s="119" t="s">
        <v>891</v>
      </c>
      <c r="F115" s="119" t="s">
        <v>892</v>
      </c>
      <c r="G115" s="119" t="s">
        <v>893</v>
      </c>
    </row>
    <row r="116" spans="2:7" x14ac:dyDescent="0.25">
      <c r="B116" s="116">
        <v>25</v>
      </c>
      <c r="C116" s="119" t="s">
        <v>894</v>
      </c>
      <c r="D116" s="119" t="s">
        <v>783</v>
      </c>
      <c r="E116" s="119" t="s">
        <v>895</v>
      </c>
      <c r="F116" s="119" t="s">
        <v>896</v>
      </c>
      <c r="G116" s="119" t="s">
        <v>897</v>
      </c>
    </row>
    <row r="117" spans="2:7" x14ac:dyDescent="0.25">
      <c r="B117" s="116">
        <v>26</v>
      </c>
      <c r="C117" s="118" t="s">
        <v>898</v>
      </c>
      <c r="D117" s="118" t="s">
        <v>800</v>
      </c>
      <c r="E117" s="118" t="s">
        <v>899</v>
      </c>
      <c r="F117" s="118" t="s">
        <v>900</v>
      </c>
      <c r="G117" s="118" t="s">
        <v>901</v>
      </c>
    </row>
    <row r="118" spans="2:7" x14ac:dyDescent="0.25">
      <c r="B118" s="116">
        <v>27</v>
      </c>
      <c r="C118" s="118" t="s">
        <v>284</v>
      </c>
      <c r="D118" s="118" t="s">
        <v>790</v>
      </c>
      <c r="E118" s="118" t="s">
        <v>902</v>
      </c>
      <c r="F118" s="118" t="s">
        <v>903</v>
      </c>
      <c r="G118" s="118" t="s">
        <v>904</v>
      </c>
    </row>
    <row r="119" spans="2:7" x14ac:dyDescent="0.25">
      <c r="B119" s="116">
        <v>28</v>
      </c>
      <c r="C119" s="118" t="s">
        <v>281</v>
      </c>
      <c r="D119" s="118" t="s">
        <v>784</v>
      </c>
      <c r="E119" s="118" t="s">
        <v>905</v>
      </c>
      <c r="F119" s="118" t="s">
        <v>906</v>
      </c>
      <c r="G119" s="118" t="s">
        <v>907</v>
      </c>
    </row>
    <row r="120" spans="2:7" x14ac:dyDescent="0.25">
      <c r="B120" s="116">
        <v>29</v>
      </c>
      <c r="C120" s="118" t="s">
        <v>262</v>
      </c>
      <c r="D120" s="118" t="s">
        <v>785</v>
      </c>
      <c r="E120" s="118" t="s">
        <v>908</v>
      </c>
      <c r="F120" s="118" t="s">
        <v>909</v>
      </c>
      <c r="G120" s="118" t="s">
        <v>910</v>
      </c>
    </row>
    <row r="121" spans="2:7" x14ac:dyDescent="0.25">
      <c r="B121" s="116">
        <v>30</v>
      </c>
      <c r="C121" s="118" t="s">
        <v>911</v>
      </c>
      <c r="D121" s="118" t="s">
        <v>786</v>
      </c>
      <c r="E121" s="118" t="s">
        <v>912</v>
      </c>
      <c r="F121" s="118" t="s">
        <v>913</v>
      </c>
      <c r="G121" s="118" t="s">
        <v>914</v>
      </c>
    </row>
    <row r="122" spans="2:7" x14ac:dyDescent="0.25">
      <c r="B122" s="116">
        <v>31</v>
      </c>
      <c r="C122" s="118" t="s">
        <v>881</v>
      </c>
      <c r="D122" s="118" t="s">
        <v>781</v>
      </c>
      <c r="E122" s="118" t="s">
        <v>882</v>
      </c>
      <c r="F122" s="118" t="s">
        <v>883</v>
      </c>
      <c r="G122" s="118" t="s">
        <v>884</v>
      </c>
    </row>
    <row r="123" spans="2:7" x14ac:dyDescent="0.25">
      <c r="B123" s="116">
        <v>32</v>
      </c>
      <c r="C123" s="118" t="s">
        <v>915</v>
      </c>
      <c r="D123" s="118" t="s">
        <v>787</v>
      </c>
      <c r="E123" s="118" t="s">
        <v>916</v>
      </c>
      <c r="F123" s="118" t="s">
        <v>917</v>
      </c>
      <c r="G123" s="118" t="s">
        <v>918</v>
      </c>
    </row>
    <row r="124" spans="2:7" x14ac:dyDescent="0.25">
      <c r="B124" s="116">
        <v>33</v>
      </c>
      <c r="C124" s="118" t="s">
        <v>919</v>
      </c>
      <c r="D124" s="118" t="s">
        <v>792</v>
      </c>
      <c r="E124" s="118" t="s">
        <v>920</v>
      </c>
      <c r="F124" s="118" t="s">
        <v>921</v>
      </c>
      <c r="G124" s="118" t="s">
        <v>922</v>
      </c>
    </row>
    <row r="125" spans="2:7" x14ac:dyDescent="0.25">
      <c r="B125" s="116">
        <v>34</v>
      </c>
      <c r="C125" s="118" t="s">
        <v>923</v>
      </c>
      <c r="D125" s="118" t="s">
        <v>788</v>
      </c>
      <c r="E125" s="118" t="s">
        <v>924</v>
      </c>
      <c r="F125" s="118" t="s">
        <v>925</v>
      </c>
      <c r="G125" s="118" t="s">
        <v>926</v>
      </c>
    </row>
    <row r="126" spans="2:7" x14ac:dyDescent="0.25">
      <c r="B126" s="116">
        <v>35</v>
      </c>
      <c r="C126" s="118" t="s">
        <v>794</v>
      </c>
      <c r="D126" s="118" t="s">
        <v>797</v>
      </c>
      <c r="E126" s="118" t="s">
        <v>927</v>
      </c>
      <c r="F126" s="118" t="s">
        <v>928</v>
      </c>
      <c r="G126" s="118" t="s">
        <v>929</v>
      </c>
    </row>
    <row r="127" spans="2:7" x14ac:dyDescent="0.25">
      <c r="B127" s="116">
        <v>36</v>
      </c>
      <c r="C127" s="118" t="s">
        <v>795</v>
      </c>
      <c r="D127" s="118" t="s">
        <v>798</v>
      </c>
      <c r="E127" s="118" t="s">
        <v>930</v>
      </c>
      <c r="F127" s="118" t="s">
        <v>931</v>
      </c>
      <c r="G127" s="118" t="s">
        <v>932</v>
      </c>
    </row>
    <row r="128" spans="2:7" x14ac:dyDescent="0.25">
      <c r="B128" s="116">
        <v>37</v>
      </c>
      <c r="C128" s="118" t="s">
        <v>796</v>
      </c>
      <c r="D128" s="118" t="s">
        <v>799</v>
      </c>
      <c r="E128" s="118" t="s">
        <v>933</v>
      </c>
      <c r="F128" s="118" t="s">
        <v>934</v>
      </c>
      <c r="G128" s="118" t="s">
        <v>935</v>
      </c>
    </row>
    <row r="130" spans="2:8" ht="15.75" thickBot="1" x14ac:dyDescent="0.3">
      <c r="B130"/>
      <c r="C130" s="306" t="s">
        <v>937</v>
      </c>
      <c r="D130" s="306"/>
      <c r="E130" s="306"/>
      <c r="F130" s="306"/>
      <c r="G130" s="306"/>
    </row>
    <row r="131" spans="2:8" x14ac:dyDescent="0.25">
      <c r="B131"/>
      <c r="C131"/>
      <c r="D131"/>
      <c r="E131"/>
      <c r="F131"/>
      <c r="G131"/>
      <c r="H131"/>
    </row>
    <row r="132" spans="2:8" x14ac:dyDescent="0.25">
      <c r="B132" s="116" t="s">
        <v>480</v>
      </c>
      <c r="C132" s="118" t="s">
        <v>470</v>
      </c>
      <c r="D132" s="118" t="s">
        <v>444</v>
      </c>
      <c r="E132" s="118" t="s">
        <v>474</v>
      </c>
      <c r="F132" s="118" t="s">
        <v>473</v>
      </c>
      <c r="G132" s="118" t="s">
        <v>475</v>
      </c>
      <c r="H132" s="118" t="s">
        <v>481</v>
      </c>
    </row>
    <row r="133" spans="2:8" x14ac:dyDescent="0.25">
      <c r="B133" s="116">
        <v>1</v>
      </c>
      <c r="C133" s="118" t="s">
        <v>938</v>
      </c>
      <c r="D133" s="118" t="s">
        <v>939</v>
      </c>
    </row>
    <row r="134" spans="2:8" x14ac:dyDescent="0.25">
      <c r="B134" s="116">
        <v>2</v>
      </c>
      <c r="D134" s="118" t="s">
        <v>940</v>
      </c>
      <c r="E134" s="119"/>
      <c r="F134" s="119"/>
      <c r="G134" s="119"/>
    </row>
    <row r="135" spans="2:8" x14ac:dyDescent="0.25">
      <c r="B135" s="116">
        <v>3</v>
      </c>
      <c r="C135" s="118" t="s">
        <v>603</v>
      </c>
      <c r="D135" s="118" t="s">
        <v>578</v>
      </c>
      <c r="E135" s="118" t="s">
        <v>621</v>
      </c>
      <c r="F135" s="118" t="s">
        <v>644</v>
      </c>
      <c r="G135" s="118" t="s">
        <v>665</v>
      </c>
    </row>
    <row r="136" spans="2:8" x14ac:dyDescent="0.25">
      <c r="B136" s="116">
        <v>4</v>
      </c>
      <c r="C136" s="118" t="s">
        <v>606</v>
      </c>
      <c r="D136" s="118" t="s">
        <v>580</v>
      </c>
      <c r="E136" s="119" t="s">
        <v>625</v>
      </c>
      <c r="F136" s="119" t="s">
        <v>647</v>
      </c>
      <c r="G136" s="119" t="s">
        <v>668</v>
      </c>
    </row>
    <row r="137" spans="2:8" x14ac:dyDescent="0.25">
      <c r="B137" s="116">
        <v>5</v>
      </c>
      <c r="C137" s="118" t="s">
        <v>259</v>
      </c>
      <c r="D137" s="118" t="s">
        <v>590</v>
      </c>
      <c r="E137" s="118" t="s">
        <v>626</v>
      </c>
      <c r="F137" s="118" t="s">
        <v>648</v>
      </c>
      <c r="G137" s="118" t="s">
        <v>669</v>
      </c>
    </row>
    <row r="138" spans="2:8" x14ac:dyDescent="0.25">
      <c r="B138" s="116">
        <v>6</v>
      </c>
      <c r="C138" s="118" t="s">
        <v>258</v>
      </c>
      <c r="D138" s="118" t="s">
        <v>584</v>
      </c>
      <c r="E138" s="119" t="s">
        <v>627</v>
      </c>
      <c r="F138" s="119" t="s">
        <v>584</v>
      </c>
      <c r="G138" s="119" t="s">
        <v>670</v>
      </c>
    </row>
    <row r="139" spans="2:8" x14ac:dyDescent="0.25">
      <c r="B139" s="116">
        <v>7</v>
      </c>
      <c r="C139" s="118" t="s">
        <v>604</v>
      </c>
      <c r="D139" s="118" t="s">
        <v>582</v>
      </c>
      <c r="E139" s="119" t="s">
        <v>623</v>
      </c>
      <c r="F139" s="119" t="s">
        <v>646</v>
      </c>
      <c r="G139" s="119" t="s">
        <v>667</v>
      </c>
    </row>
    <row r="140" spans="2:8" x14ac:dyDescent="0.25">
      <c r="B140" s="116">
        <v>8</v>
      </c>
      <c r="C140" s="118" t="s">
        <v>605</v>
      </c>
      <c r="D140" s="118" t="s">
        <v>583</v>
      </c>
      <c r="E140" s="119" t="s">
        <v>624</v>
      </c>
      <c r="F140" s="119" t="s">
        <v>583</v>
      </c>
      <c r="G140" s="119" t="s">
        <v>605</v>
      </c>
    </row>
    <row r="141" spans="2:8" x14ac:dyDescent="0.25">
      <c r="B141" s="116">
        <v>9</v>
      </c>
      <c r="C141" s="118" t="s">
        <v>619</v>
      </c>
      <c r="D141" s="118" t="s">
        <v>601</v>
      </c>
    </row>
    <row r="142" spans="2:8" x14ac:dyDescent="0.25">
      <c r="B142" s="116">
        <v>10</v>
      </c>
      <c r="D142" s="118" t="s">
        <v>734</v>
      </c>
    </row>
    <row r="143" spans="2:8" x14ac:dyDescent="0.25">
      <c r="B143" s="116">
        <v>11</v>
      </c>
      <c r="D143" s="118" t="s">
        <v>698</v>
      </c>
    </row>
    <row r="144" spans="2:8" x14ac:dyDescent="0.25">
      <c r="B144" s="116">
        <v>12</v>
      </c>
      <c r="D144" s="252" t="s">
        <v>1010</v>
      </c>
    </row>
    <row r="145" spans="2:7" x14ac:dyDescent="0.25">
      <c r="B145" s="116">
        <v>13</v>
      </c>
      <c r="D145" s="252" t="s">
        <v>1011</v>
      </c>
    </row>
    <row r="146" spans="2:7" x14ac:dyDescent="0.25">
      <c r="B146" s="116">
        <v>14</v>
      </c>
      <c r="D146" s="252" t="s">
        <v>1013</v>
      </c>
    </row>
    <row r="147" spans="2:7" x14ac:dyDescent="0.25">
      <c r="B147" s="116">
        <v>15</v>
      </c>
      <c r="D147" s="252" t="s">
        <v>1015</v>
      </c>
    </row>
    <row r="148" spans="2:7" x14ac:dyDescent="0.25">
      <c r="B148" s="116">
        <v>16</v>
      </c>
      <c r="D148" s="252" t="s">
        <v>1016</v>
      </c>
      <c r="E148" s="119"/>
      <c r="F148" s="119"/>
      <c r="G148" s="119"/>
    </row>
    <row r="149" spans="2:7" x14ac:dyDescent="0.25">
      <c r="B149" s="116">
        <v>17</v>
      </c>
      <c r="D149" s="232" t="s">
        <v>1017</v>
      </c>
      <c r="E149" s="119"/>
      <c r="F149" s="119"/>
      <c r="G149" s="119"/>
    </row>
    <row r="150" spans="2:7" x14ac:dyDescent="0.25">
      <c r="B150" s="116">
        <v>18</v>
      </c>
      <c r="C150" s="119"/>
      <c r="D150" s="118" t="s">
        <v>1023</v>
      </c>
      <c r="E150" s="119"/>
      <c r="F150" s="119"/>
      <c r="G150" s="119"/>
    </row>
    <row r="151" spans="2:7" x14ac:dyDescent="0.25">
      <c r="B151" s="116">
        <v>19</v>
      </c>
      <c r="C151" s="119"/>
      <c r="D151" s="118" t="s">
        <v>585</v>
      </c>
      <c r="E151" s="119"/>
      <c r="F151" s="119"/>
      <c r="G151" s="119"/>
    </row>
    <row r="152" spans="2:7" x14ac:dyDescent="0.25">
      <c r="B152" s="116">
        <v>20</v>
      </c>
      <c r="C152" s="119"/>
      <c r="D152" s="118" t="s">
        <v>587</v>
      </c>
      <c r="E152" s="119"/>
      <c r="F152" s="119"/>
      <c r="G152" s="119"/>
    </row>
    <row r="153" spans="2:7" x14ac:dyDescent="0.25">
      <c r="B153" s="116">
        <v>21</v>
      </c>
      <c r="C153" s="119"/>
      <c r="D153" s="118" t="s">
        <v>721</v>
      </c>
      <c r="E153" s="119"/>
      <c r="F153" s="119"/>
      <c r="G153" s="119"/>
    </row>
    <row r="154" spans="2:7" x14ac:dyDescent="0.25">
      <c r="B154" s="116">
        <v>22</v>
      </c>
      <c r="C154" s="119"/>
      <c r="D154" s="118" t="s">
        <v>588</v>
      </c>
      <c r="E154" s="119"/>
      <c r="F154" s="119"/>
      <c r="G154" s="119"/>
    </row>
    <row r="155" spans="2:7" x14ac:dyDescent="0.25">
      <c r="B155" s="116">
        <v>23</v>
      </c>
      <c r="C155" s="119"/>
      <c r="D155" s="118" t="s">
        <v>1020</v>
      </c>
      <c r="E155" s="119"/>
      <c r="F155" s="119"/>
      <c r="G155" s="119"/>
    </row>
    <row r="156" spans="2:7" x14ac:dyDescent="0.25">
      <c r="B156" s="116">
        <v>24</v>
      </c>
      <c r="C156" s="119"/>
      <c r="D156" s="118" t="s">
        <v>1024</v>
      </c>
      <c r="E156" s="119"/>
      <c r="F156" s="119"/>
      <c r="G156" s="119"/>
    </row>
    <row r="157" spans="2:7" x14ac:dyDescent="0.25">
      <c r="B157" s="116">
        <v>25</v>
      </c>
      <c r="D157" s="118" t="s">
        <v>1021</v>
      </c>
    </row>
    <row r="158" spans="2:7" x14ac:dyDescent="0.25">
      <c r="B158" s="116">
        <v>26</v>
      </c>
      <c r="D158" s="118" t="s">
        <v>1022</v>
      </c>
    </row>
    <row r="159" spans="2:7" x14ac:dyDescent="0.25">
      <c r="B159" s="116">
        <v>27</v>
      </c>
      <c r="D159" s="118" t="s">
        <v>691</v>
      </c>
    </row>
    <row r="160" spans="2:7" x14ac:dyDescent="0.25">
      <c r="B160" s="116">
        <v>28</v>
      </c>
      <c r="D160" s="118" t="s">
        <v>595</v>
      </c>
    </row>
    <row r="161" spans="2:4" x14ac:dyDescent="0.25">
      <c r="B161" s="116">
        <v>29</v>
      </c>
      <c r="D161" s="118" t="s">
        <v>1041</v>
      </c>
    </row>
    <row r="162" spans="2:4" x14ac:dyDescent="0.25">
      <c r="B162" s="116">
        <v>30</v>
      </c>
      <c r="D162" s="118" t="s">
        <v>711</v>
      </c>
    </row>
    <row r="163" spans="2:4" x14ac:dyDescent="0.25">
      <c r="B163" s="116">
        <v>31</v>
      </c>
      <c r="D163" s="118" t="s">
        <v>601</v>
      </c>
    </row>
    <row r="164" spans="2:4" x14ac:dyDescent="0.25">
      <c r="B164" s="116">
        <v>32</v>
      </c>
      <c r="C164" s="239"/>
      <c r="D164" s="118" t="s">
        <v>602</v>
      </c>
    </row>
    <row r="165" spans="2:4" x14ac:dyDescent="0.25">
      <c r="B165" s="116">
        <v>33</v>
      </c>
      <c r="C165" s="239"/>
      <c r="D165" s="118" t="s">
        <v>687</v>
      </c>
    </row>
    <row r="166" spans="2:4" x14ac:dyDescent="0.25">
      <c r="B166" s="116">
        <v>34</v>
      </c>
      <c r="C166" s="239"/>
      <c r="D166" s="118" t="s">
        <v>686</v>
      </c>
    </row>
    <row r="167" spans="2:4" x14ac:dyDescent="0.25">
      <c r="B167" s="116">
        <v>35</v>
      </c>
      <c r="C167" s="239"/>
      <c r="D167" s="118" t="s">
        <v>689</v>
      </c>
    </row>
    <row r="168" spans="2:4" x14ac:dyDescent="0.25">
      <c r="B168" s="116">
        <v>36</v>
      </c>
      <c r="C168" s="239"/>
      <c r="D168" s="118" t="s">
        <v>687</v>
      </c>
    </row>
    <row r="169" spans="2:4" x14ac:dyDescent="0.25">
      <c r="B169" s="116">
        <v>37</v>
      </c>
      <c r="C169" s="279"/>
      <c r="D169" s="118" t="s">
        <v>686</v>
      </c>
    </row>
    <row r="170" spans="2:4" x14ac:dyDescent="0.25">
      <c r="B170" s="116">
        <v>38</v>
      </c>
      <c r="D170" s="118" t="s">
        <v>1042</v>
      </c>
    </row>
    <row r="171" spans="2:4" x14ac:dyDescent="0.25">
      <c r="B171" s="116">
        <v>39</v>
      </c>
      <c r="D171" s="118" t="s">
        <v>1043</v>
      </c>
    </row>
    <row r="172" spans="2:4" x14ac:dyDescent="0.25">
      <c r="B172" s="116">
        <v>40</v>
      </c>
      <c r="D172" s="118" t="s">
        <v>702</v>
      </c>
    </row>
    <row r="173" spans="2:4" x14ac:dyDescent="0.25">
      <c r="B173" s="116">
        <v>41</v>
      </c>
      <c r="D173" s="118" t="s">
        <v>703</v>
      </c>
    </row>
    <row r="174" spans="2:4" x14ac:dyDescent="0.25">
      <c r="B174" s="116">
        <v>42</v>
      </c>
      <c r="D174" s="118" t="s">
        <v>704</v>
      </c>
    </row>
    <row r="175" spans="2:4" x14ac:dyDescent="0.25">
      <c r="B175" s="116">
        <v>43</v>
      </c>
      <c r="D175" t="s">
        <v>1045</v>
      </c>
    </row>
    <row r="176" spans="2:4" x14ac:dyDescent="0.25">
      <c r="B176" s="116">
        <v>44</v>
      </c>
      <c r="D176" t="s">
        <v>1046</v>
      </c>
    </row>
    <row r="177" spans="2:4" x14ac:dyDescent="0.25">
      <c r="B177" s="116">
        <v>45</v>
      </c>
      <c r="D177" s="118" t="s">
        <v>1049</v>
      </c>
    </row>
    <row r="178" spans="2:4" x14ac:dyDescent="0.25">
      <c r="B178" s="116">
        <v>46</v>
      </c>
      <c r="D178" s="118" t="s">
        <v>1050</v>
      </c>
    </row>
    <row r="179" spans="2:4" x14ac:dyDescent="0.25">
      <c r="B179" s="116">
        <v>47</v>
      </c>
      <c r="D179" s="118" t="s">
        <v>1051</v>
      </c>
    </row>
    <row r="180" spans="2:4" x14ac:dyDescent="0.25">
      <c r="B180" s="116">
        <v>48</v>
      </c>
      <c r="D180" s="118" t="s">
        <v>1057</v>
      </c>
    </row>
    <row r="181" spans="2:4" x14ac:dyDescent="0.25">
      <c r="B181" s="116">
        <v>49</v>
      </c>
      <c r="D181" s="118" t="s">
        <v>585</v>
      </c>
    </row>
    <row r="182" spans="2:4" x14ac:dyDescent="0.25">
      <c r="B182" s="116">
        <v>50</v>
      </c>
      <c r="D182" s="118" t="s">
        <v>587</v>
      </c>
    </row>
    <row r="183" spans="2:4" x14ac:dyDescent="0.25">
      <c r="B183" s="116">
        <v>51</v>
      </c>
      <c r="D183" s="118" t="s">
        <v>1055</v>
      </c>
    </row>
    <row r="184" spans="2:4" x14ac:dyDescent="0.25">
      <c r="B184" s="116">
        <v>52</v>
      </c>
      <c r="D184" s="118" t="s">
        <v>1054</v>
      </c>
    </row>
    <row r="185" spans="2:4" x14ac:dyDescent="0.25">
      <c r="B185" s="116">
        <v>53</v>
      </c>
      <c r="D185" s="118" t="s">
        <v>1060</v>
      </c>
    </row>
    <row r="186" spans="2:4" x14ac:dyDescent="0.25">
      <c r="B186" s="116">
        <v>54</v>
      </c>
      <c r="D186" s="118" t="s">
        <v>1058</v>
      </c>
    </row>
    <row r="187" spans="2:4" x14ac:dyDescent="0.25">
      <c r="B187" s="116">
        <v>55</v>
      </c>
      <c r="D187" s="118" t="s">
        <v>1059</v>
      </c>
    </row>
    <row r="188" spans="2:4" x14ac:dyDescent="0.25">
      <c r="B188" s="116">
        <v>56</v>
      </c>
      <c r="D188" s="118" t="s">
        <v>1063</v>
      </c>
    </row>
    <row r="189" spans="2:4" x14ac:dyDescent="0.25">
      <c r="B189" s="116">
        <v>57</v>
      </c>
      <c r="D189" s="118" t="s">
        <v>1061</v>
      </c>
    </row>
    <row r="190" spans="2:4" x14ac:dyDescent="0.25">
      <c r="B190" s="116">
        <v>58</v>
      </c>
      <c r="D190" s="118" t="s">
        <v>1062</v>
      </c>
    </row>
    <row r="191" spans="2:4" x14ac:dyDescent="0.25">
      <c r="B191" s="116">
        <v>59</v>
      </c>
      <c r="D191" s="118" t="s">
        <v>1084</v>
      </c>
    </row>
    <row r="192" spans="2:4" x14ac:dyDescent="0.25">
      <c r="B192" s="116">
        <v>60</v>
      </c>
      <c r="C192" s="118" t="s">
        <v>1072</v>
      </c>
      <c r="D192" s="118" t="s">
        <v>1073</v>
      </c>
    </row>
    <row r="193" spans="2:4" x14ac:dyDescent="0.25">
      <c r="B193" s="116">
        <v>61</v>
      </c>
      <c r="D193" s="118" t="s">
        <v>1075</v>
      </c>
    </row>
    <row r="194" spans="2:4" x14ac:dyDescent="0.25">
      <c r="B194" s="116">
        <v>62</v>
      </c>
      <c r="D194" s="118" t="s">
        <v>1076</v>
      </c>
    </row>
    <row r="195" spans="2:4" x14ac:dyDescent="0.25">
      <c r="B195" s="116">
        <v>63</v>
      </c>
      <c r="C195" s="118" t="s">
        <v>116</v>
      </c>
      <c r="D195" s="118" t="s">
        <v>1074</v>
      </c>
    </row>
    <row r="196" spans="2:4" x14ac:dyDescent="0.25">
      <c r="B196" s="116">
        <v>64</v>
      </c>
      <c r="D196" s="118" t="s">
        <v>1077</v>
      </c>
    </row>
    <row r="197" spans="2:4" x14ac:dyDescent="0.25">
      <c r="B197" s="116">
        <v>65</v>
      </c>
      <c r="D197" s="118" t="s">
        <v>1078</v>
      </c>
    </row>
    <row r="198" spans="2:4" x14ac:dyDescent="0.25">
      <c r="B198" s="116">
        <v>66</v>
      </c>
      <c r="D198" s="118" t="s">
        <v>1042</v>
      </c>
    </row>
    <row r="199" spans="2:4" x14ac:dyDescent="0.25">
      <c r="B199" s="116">
        <v>67</v>
      </c>
      <c r="D199" s="118" t="s">
        <v>1083</v>
      </c>
    </row>
    <row r="200" spans="2:4" x14ac:dyDescent="0.25">
      <c r="B200" s="116">
        <v>68</v>
      </c>
    </row>
    <row r="201" spans="2:4" x14ac:dyDescent="0.25">
      <c r="B201" s="116">
        <v>69</v>
      </c>
    </row>
    <row r="202" spans="2:4" x14ac:dyDescent="0.25">
      <c r="B202" s="116">
        <v>70</v>
      </c>
    </row>
    <row r="203" spans="2:4" x14ac:dyDescent="0.25">
      <c r="B203" s="116">
        <v>71</v>
      </c>
    </row>
    <row r="204" spans="2:4" x14ac:dyDescent="0.25">
      <c r="B204" s="116">
        <v>72</v>
      </c>
    </row>
    <row r="205" spans="2:4" x14ac:dyDescent="0.25">
      <c r="B205" s="116">
        <v>73</v>
      </c>
    </row>
    <row r="206" spans="2:4" x14ac:dyDescent="0.25">
      <c r="B206" s="116">
        <v>74</v>
      </c>
    </row>
    <row r="207" spans="2:4" x14ac:dyDescent="0.25">
      <c r="B207" s="116">
        <v>75</v>
      </c>
    </row>
    <row r="208" spans="2:4" x14ac:dyDescent="0.25">
      <c r="B208" s="116">
        <v>76</v>
      </c>
    </row>
    <row r="209" spans="2:2" x14ac:dyDescent="0.25">
      <c r="B209" s="116">
        <v>77</v>
      </c>
    </row>
    <row r="210" spans="2:2" x14ac:dyDescent="0.25">
      <c r="B210" s="116">
        <v>78</v>
      </c>
    </row>
    <row r="211" spans="2:2" x14ac:dyDescent="0.25">
      <c r="B211" s="116">
        <v>79</v>
      </c>
    </row>
    <row r="212" spans="2:2" x14ac:dyDescent="0.25">
      <c r="B212" s="116">
        <v>80</v>
      </c>
    </row>
    <row r="213" spans="2:2" x14ac:dyDescent="0.25">
      <c r="B213" s="116">
        <v>81</v>
      </c>
    </row>
    <row r="214" spans="2:2" x14ac:dyDescent="0.25">
      <c r="B214" s="116">
        <v>82</v>
      </c>
    </row>
    <row r="215" spans="2:2" x14ac:dyDescent="0.25">
      <c r="B215" s="116">
        <v>83</v>
      </c>
    </row>
    <row r="216" spans="2:2" x14ac:dyDescent="0.25">
      <c r="B216" s="116">
        <v>84</v>
      </c>
    </row>
    <row r="217" spans="2:2" x14ac:dyDescent="0.25">
      <c r="B217" s="116">
        <v>85</v>
      </c>
    </row>
    <row r="218" spans="2:2" x14ac:dyDescent="0.25">
      <c r="B218" s="116">
        <v>86</v>
      </c>
    </row>
    <row r="219" spans="2:2" x14ac:dyDescent="0.25">
      <c r="B219" s="116">
        <v>87</v>
      </c>
    </row>
    <row r="220" spans="2:2" x14ac:dyDescent="0.25">
      <c r="B220" s="116">
        <v>88</v>
      </c>
    </row>
    <row r="221" spans="2:2" x14ac:dyDescent="0.25">
      <c r="B221" s="116">
        <v>89</v>
      </c>
    </row>
    <row r="222" spans="2:2" x14ac:dyDescent="0.25">
      <c r="B222" s="116">
        <v>90</v>
      </c>
    </row>
    <row r="223" spans="2:2" x14ac:dyDescent="0.25">
      <c r="B223" s="116">
        <v>91</v>
      </c>
    </row>
    <row r="224" spans="2:2" x14ac:dyDescent="0.25">
      <c r="B224" s="116">
        <v>92</v>
      </c>
    </row>
    <row r="225" spans="2:2" x14ac:dyDescent="0.25">
      <c r="B225" s="116">
        <v>93</v>
      </c>
    </row>
    <row r="226" spans="2:2" x14ac:dyDescent="0.25">
      <c r="B226" s="116">
        <v>94</v>
      </c>
    </row>
    <row r="227" spans="2:2" x14ac:dyDescent="0.25">
      <c r="B227" s="116">
        <v>95</v>
      </c>
    </row>
    <row r="228" spans="2:2" x14ac:dyDescent="0.25">
      <c r="B228" s="116">
        <v>96</v>
      </c>
    </row>
    <row r="229" spans="2:2" x14ac:dyDescent="0.25">
      <c r="B229" s="116">
        <v>97</v>
      </c>
    </row>
    <row r="230" spans="2:2" x14ac:dyDescent="0.25">
      <c r="B230" s="116">
        <v>98</v>
      </c>
    </row>
    <row r="231" spans="2:2" x14ac:dyDescent="0.25">
      <c r="B231" s="116">
        <v>99</v>
      </c>
    </row>
    <row r="232" spans="2:2" x14ac:dyDescent="0.25">
      <c r="B232" s="116">
        <v>100</v>
      </c>
    </row>
    <row r="233" spans="2:2" x14ac:dyDescent="0.25">
      <c r="B233" s="116">
        <v>101</v>
      </c>
    </row>
    <row r="234" spans="2:2" x14ac:dyDescent="0.25">
      <c r="B234" s="116">
        <v>102</v>
      </c>
    </row>
    <row r="235" spans="2:2" x14ac:dyDescent="0.25">
      <c r="B235" s="116">
        <v>103</v>
      </c>
    </row>
    <row r="236" spans="2:2" x14ac:dyDescent="0.25">
      <c r="B236" s="116">
        <v>104</v>
      </c>
    </row>
    <row r="237" spans="2:2" x14ac:dyDescent="0.25">
      <c r="B237" s="116">
        <v>105</v>
      </c>
    </row>
    <row r="238" spans="2:2" x14ac:dyDescent="0.25">
      <c r="B238" s="116">
        <v>106</v>
      </c>
    </row>
    <row r="239" spans="2:2" x14ac:dyDescent="0.25">
      <c r="B239" s="116">
        <v>107</v>
      </c>
    </row>
    <row r="240" spans="2:2" x14ac:dyDescent="0.25">
      <c r="B240" s="116">
        <v>108</v>
      </c>
    </row>
    <row r="241" spans="2:2" x14ac:dyDescent="0.25">
      <c r="B241" s="116">
        <v>109</v>
      </c>
    </row>
    <row r="242" spans="2:2" x14ac:dyDescent="0.25">
      <c r="B242" s="116">
        <v>110</v>
      </c>
    </row>
    <row r="243" spans="2:2" x14ac:dyDescent="0.25">
      <c r="B243" s="116">
        <v>111</v>
      </c>
    </row>
    <row r="244" spans="2:2" x14ac:dyDescent="0.25">
      <c r="B244" s="116">
        <v>112</v>
      </c>
    </row>
    <row r="245" spans="2:2" x14ac:dyDescent="0.25">
      <c r="B245" s="116">
        <v>113</v>
      </c>
    </row>
    <row r="246" spans="2:2" x14ac:dyDescent="0.25">
      <c r="B246" s="116">
        <v>114</v>
      </c>
    </row>
    <row r="247" spans="2:2" x14ac:dyDescent="0.25">
      <c r="B247" s="116">
        <v>115</v>
      </c>
    </row>
    <row r="248" spans="2:2" x14ac:dyDescent="0.25">
      <c r="B248" s="116">
        <v>116</v>
      </c>
    </row>
    <row r="249" spans="2:2" x14ac:dyDescent="0.25">
      <c r="B249" s="116">
        <v>117</v>
      </c>
    </row>
    <row r="250" spans="2:2" x14ac:dyDescent="0.25">
      <c r="B250" s="116">
        <v>118</v>
      </c>
    </row>
    <row r="251" spans="2:2" x14ac:dyDescent="0.25">
      <c r="B251" s="116">
        <v>119</v>
      </c>
    </row>
    <row r="252" spans="2:2" x14ac:dyDescent="0.25">
      <c r="B252" s="116">
        <v>120</v>
      </c>
    </row>
    <row r="253" spans="2:2" x14ac:dyDescent="0.25">
      <c r="B253" s="116">
        <v>121</v>
      </c>
    </row>
    <row r="254" spans="2:2" x14ac:dyDescent="0.25">
      <c r="B254" s="116">
        <v>122</v>
      </c>
    </row>
    <row r="255" spans="2:2" x14ac:dyDescent="0.25">
      <c r="B255" s="116">
        <v>123</v>
      </c>
    </row>
    <row r="256" spans="2:2" x14ac:dyDescent="0.25">
      <c r="B256" s="116">
        <v>124</v>
      </c>
    </row>
    <row r="257" spans="2:2" x14ac:dyDescent="0.25">
      <c r="B257" s="116">
        <v>125</v>
      </c>
    </row>
  </sheetData>
  <mergeCells count="5">
    <mergeCell ref="C6:G6"/>
    <mergeCell ref="C2:G2"/>
    <mergeCell ref="C38:G38"/>
    <mergeCell ref="C89:G89"/>
    <mergeCell ref="C130:G130"/>
  </mergeCells>
  <pageMargins left="0.7" right="0.7" top="0.75" bottom="0.75" header="0.3" footer="0.3"/>
  <pageSetup paperSize="9"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1Input">
    <pageSetUpPr fitToPage="1"/>
  </sheetPr>
  <dimension ref="A1:M49"/>
  <sheetViews>
    <sheetView showGridLines="0" showWhiteSpace="0" zoomScale="85" zoomScaleNormal="85" zoomScaleSheetLayoutView="115" workbookViewId="0">
      <pane ySplit="1" topLeftCell="A7" activePane="bottomLeft" state="frozen"/>
      <selection activeCell="E3" sqref="E3:E4"/>
      <selection pane="bottomLeft" activeCell="C5" sqref="C5:D5"/>
    </sheetView>
  </sheetViews>
  <sheetFormatPr defaultColWidth="0" defaultRowHeight="12.75" zeroHeight="1" x14ac:dyDescent="0.2"/>
  <cols>
    <col min="1" max="1" width="1.42578125" style="242" customWidth="1"/>
    <col min="2" max="2" width="17.140625" style="242" customWidth="1"/>
    <col min="3" max="5" width="8.5703125" style="242" customWidth="1"/>
    <col min="6" max="6" width="7.140625" style="242" customWidth="1"/>
    <col min="7" max="7" width="5.7109375" style="242" customWidth="1"/>
    <col min="8" max="8" width="17.140625" style="242" customWidth="1"/>
    <col min="9" max="11" width="8.5703125" style="242" customWidth="1"/>
    <col min="12" max="12" width="7.140625" style="242" customWidth="1"/>
    <col min="13" max="13" width="1.42578125" style="242" customWidth="1"/>
    <col min="14" max="16384" width="9.140625" style="242" hidden="1"/>
  </cols>
  <sheetData>
    <row r="1" spans="2:12" s="239" customFormat="1" ht="42" customHeight="1" thickBot="1" x14ac:dyDescent="0.3">
      <c r="B1" s="246"/>
      <c r="C1" s="246"/>
      <c r="D1" s="323" t="s">
        <v>690</v>
      </c>
      <c r="E1" s="323"/>
      <c r="F1" s="323"/>
      <c r="G1" s="323"/>
      <c r="H1" s="323"/>
      <c r="I1" s="323"/>
      <c r="J1" s="219"/>
      <c r="K1" s="323" t="s">
        <v>586</v>
      </c>
      <c r="L1" s="323"/>
    </row>
    <row r="2" spans="2:12" s="239" customFormat="1" ht="4.5" customHeight="1" x14ac:dyDescent="0.25"/>
    <row r="3" spans="2:12" s="239" customFormat="1" ht="15" x14ac:dyDescent="0.25">
      <c r="B3" s="319" t="str" cm="1">
        <f t="array" ref="B3">INDEX(LEN_IN[],1,MATCH(CONDITIONS!$E$3,Len_DB!$C$8:$H$8,0)+1)</f>
        <v>Project informations</v>
      </c>
      <c r="C3" s="319"/>
      <c r="D3" s="319"/>
      <c r="E3" s="319"/>
      <c r="F3" s="319"/>
      <c r="G3" s="319"/>
      <c r="H3" s="319"/>
      <c r="I3" s="319"/>
      <c r="J3" s="319"/>
      <c r="K3" s="319"/>
      <c r="L3" s="319"/>
    </row>
    <row r="4" spans="2:12" s="239" customFormat="1" ht="4.9000000000000004" customHeight="1" x14ac:dyDescent="0.25"/>
    <row r="5" spans="2:12" s="239" customFormat="1" ht="13.15" customHeight="1" thickBot="1" x14ac:dyDescent="0.3">
      <c r="B5" s="244" t="str" cm="1">
        <f t="array" ref="B5">INDEX(LEN_IN[],2,MATCH(CONDITIONS!$E$3,Len_DB!$C$8:$H$8,0)+1)</f>
        <v>Data</v>
      </c>
      <c r="C5" s="324">
        <f ca="1">TODAY()</f>
        <v>46223</v>
      </c>
      <c r="D5" s="324"/>
      <c r="E5" s="245"/>
      <c r="F5" s="245"/>
      <c r="H5" s="244" t="str" cm="1">
        <f t="array" ref="H5">INDEX(LEN_IN[],8,MATCH(CONDITIONS!$E$3,Len_DB!$C$8:$H$8,0)+1)</f>
        <v>Standard</v>
      </c>
      <c r="I5" s="317" t="s">
        <v>936</v>
      </c>
      <c r="J5" s="317"/>
      <c r="K5" s="317"/>
      <c r="L5" s="317"/>
    </row>
    <row r="6" spans="2:12" s="239" customFormat="1" ht="13.5" customHeight="1" thickTop="1" thickBot="1" x14ac:dyDescent="0.3">
      <c r="B6" s="244" t="str" cm="1">
        <f t="array" ref="B6">INDEX(LEN_IN[],3,MATCH(CONDITIONS!$E$3,Len_DB!$C$8:$H$8,0)+1)</f>
        <v>Municipality</v>
      </c>
      <c r="C6" s="325"/>
      <c r="D6" s="326"/>
      <c r="E6" s="326"/>
      <c r="F6" s="327"/>
      <c r="H6" s="244" t="str" cm="1">
        <f t="array" ref="H6">INDEX(LEN_IN[],9,MATCH(CONDITIONS!$E$3,Len_DB!$C$8:$H$8,0)+1)</f>
        <v>Notes</v>
      </c>
      <c r="I6" s="328"/>
      <c r="J6" s="329"/>
      <c r="K6" s="329"/>
      <c r="L6" s="330"/>
    </row>
    <row r="7" spans="2:12" s="239" customFormat="1" ht="13.5" customHeight="1" thickTop="1" thickBot="1" x14ac:dyDescent="0.3">
      <c r="B7" s="244" t="str" cm="1">
        <f t="array" ref="B7">INDEX(LEN_IN[],4,MATCH(CONDITIONS!$E$3,Len_DB!$C$8:$H$8,0)+1)</f>
        <v>Province</v>
      </c>
      <c r="C7" s="325"/>
      <c r="D7" s="326"/>
      <c r="E7" s="326"/>
      <c r="F7" s="327"/>
      <c r="I7" s="331"/>
      <c r="J7" s="332"/>
      <c r="K7" s="332"/>
      <c r="L7" s="333"/>
    </row>
    <row r="8" spans="2:12" s="239" customFormat="1" ht="13.5" customHeight="1" thickTop="1" thickBot="1" x14ac:dyDescent="0.3">
      <c r="B8" s="244" t="str" cm="1">
        <f t="array" ref="B8">INDEX(LEN_IN[],5,MATCH(CONDITIONS!$E$3,Len_DB!$C$8:$H$8,0)+1)</f>
        <v>Project</v>
      </c>
      <c r="C8" s="325"/>
      <c r="D8" s="326"/>
      <c r="E8" s="326"/>
      <c r="F8" s="327"/>
    </row>
    <row r="9" spans="2:12" s="239" customFormat="1" ht="13.15" customHeight="1" thickTop="1" thickBot="1" x14ac:dyDescent="0.3">
      <c r="B9" s="244" t="str" cm="1">
        <f t="array" ref="B9">INDEX(LEN_IN[],6,MATCH(CONDITIONS!$E$3,Len_DB!$C$8:$H$8,0)+1)</f>
        <v>Designer</v>
      </c>
      <c r="C9" s="325"/>
      <c r="D9" s="326"/>
      <c r="E9" s="326"/>
      <c r="F9" s="327"/>
    </row>
    <row r="10" spans="2:12" s="239" customFormat="1" ht="13.5" customHeight="1" thickTop="1" thickBot="1" x14ac:dyDescent="0.3">
      <c r="B10" s="244" t="str" cm="1">
        <f t="array" ref="B10">INDEX(LEN_IN[],7,MATCH(CONDITIONS!$E$3,Len_DB!$C$8:$H$8,0)+1)</f>
        <v>Client</v>
      </c>
      <c r="C10" s="325"/>
      <c r="D10" s="326"/>
      <c r="E10" s="326"/>
      <c r="F10" s="327"/>
    </row>
    <row r="11" spans="2:12" s="239" customFormat="1" ht="9.75" customHeight="1" thickTop="1" x14ac:dyDescent="0.25"/>
    <row r="12" spans="2:12" s="239" customFormat="1" ht="15" x14ac:dyDescent="0.25">
      <c r="B12" s="319" t="str" cm="1">
        <f t="array" ref="B12">INDEX(LEN_IN[],10,MATCH(CONDITIONS!$E$3,Len_DB!$C$8:$H$8,0)+1)</f>
        <v>Design Loads</v>
      </c>
      <c r="C12" s="319"/>
      <c r="D12" s="319"/>
      <c r="E12" s="319"/>
      <c r="F12" s="319"/>
      <c r="G12" s="319"/>
      <c r="H12" s="319"/>
      <c r="I12" s="319"/>
      <c r="J12" s="319"/>
      <c r="K12" s="319"/>
      <c r="L12" s="319"/>
    </row>
    <row r="13" spans="2:12" s="239" customFormat="1" ht="4.9000000000000004" customHeight="1" thickBot="1" x14ac:dyDescent="0.3"/>
    <row r="14" spans="2:12" s="239" customFormat="1" ht="13.15" customHeight="1" thickTop="1" thickBot="1" x14ac:dyDescent="0.3">
      <c r="B14" s="239" t="str" cm="1">
        <f t="array" ref="B14">INDEX(LEN_IN[],11,MATCH(CONDITIONS!$E$3,Len_DB!$C$8:$H$8,0)+1)</f>
        <v>Permanent loads</v>
      </c>
      <c r="C14" s="315" t="s">
        <v>1001</v>
      </c>
      <c r="D14" s="316"/>
      <c r="E14" s="243">
        <v>2.5</v>
      </c>
      <c r="F14" s="239" t="s">
        <v>994</v>
      </c>
      <c r="H14" s="239" t="str" cm="1">
        <f t="array" ref="H14">INDEX(LEN_IN[],14,MATCH(CONDITIONS!$E$3,Len_DB!$C$8:$H$8,0)+1)</f>
        <v>Load duration</v>
      </c>
      <c r="I14" s="317" t="s">
        <v>599</v>
      </c>
      <c r="J14" s="317"/>
      <c r="K14" s="317"/>
      <c r="L14" s="317"/>
    </row>
    <row r="15" spans="2:12" s="239" customFormat="1" ht="13.15" customHeight="1" thickTop="1" thickBot="1" x14ac:dyDescent="0.3">
      <c r="B15" s="239" t="str" cm="1">
        <f t="array" ref="B15">INDEX(LEN_IN[],12,MATCH(CONDITIONS!$E$3,Len_DB!$C$8:$H$8,0)+1)</f>
        <v>Accidental loads</v>
      </c>
      <c r="C15" s="315" t="s">
        <v>1002</v>
      </c>
      <c r="D15" s="316"/>
      <c r="E15" s="243">
        <v>2</v>
      </c>
      <c r="F15" s="239" t="s">
        <v>994</v>
      </c>
      <c r="H15" s="239" t="str" cm="1">
        <f t="array" ref="H15">INDEX(LEN_IN[],20,MATCH(CONDITIONS!$E$3,Len_DB!$C$8:$H$8,0)+1)</f>
        <v>Service Class</v>
      </c>
      <c r="I15" s="317">
        <v>1</v>
      </c>
      <c r="J15" s="317"/>
      <c r="K15" s="317"/>
      <c r="L15" s="317"/>
    </row>
    <row r="16" spans="2:12" s="239" customFormat="1" ht="13.15" customHeight="1" thickTop="1" thickBot="1" x14ac:dyDescent="0.25">
      <c r="B16" s="239" t="str" cm="1">
        <f t="array" ref="B16">INDEX(LEN_IN[],13,MATCH(CONDITIONS!$E$3,Len_DB!$C$8:$H$8,0)+1)</f>
        <v>Partial factor</v>
      </c>
      <c r="C16" s="315" t="s">
        <v>1003</v>
      </c>
      <c r="D16" s="316"/>
      <c r="E16" s="243">
        <v>0.3</v>
      </c>
      <c r="H16" s="242"/>
      <c r="K16" s="242"/>
      <c r="L16" s="242"/>
    </row>
    <row r="17" spans="2:12" s="239" customFormat="1" ht="9.75" customHeight="1" thickTop="1" x14ac:dyDescent="0.25"/>
    <row r="18" spans="2:12" s="239" customFormat="1" ht="15" x14ac:dyDescent="0.25">
      <c r="B18" s="319" t="str" cm="1">
        <f t="array" ref="B18">INDEX(LEN_IN[],21,MATCH(CONDITIONS!$E$3,Len_DB!$C$8:$H$8,0)+1)</f>
        <v>Timber properties</v>
      </c>
      <c r="C18" s="319"/>
      <c r="D18" s="319"/>
      <c r="E18" s="319"/>
      <c r="F18" s="319"/>
      <c r="G18" s="319"/>
      <c r="H18" s="319"/>
      <c r="I18" s="319"/>
      <c r="J18" s="319"/>
      <c r="K18" s="319"/>
      <c r="L18" s="319"/>
    </row>
    <row r="19" spans="2:12" s="239" customFormat="1" ht="3" customHeight="1" x14ac:dyDescent="0.25"/>
    <row r="20" spans="2:12" s="239" customFormat="1" x14ac:dyDescent="0.25">
      <c r="B20" s="320" t="str" cm="1">
        <f t="array" ref="B20">INDEX(LEN_IN[],22,MATCH(CONDITIONS!$E$3,Len_DB!$C$8:$H$8,0)+1)</f>
        <v>(1) Slab</v>
      </c>
      <c r="C20" s="320"/>
      <c r="D20" s="320"/>
      <c r="E20" s="320"/>
      <c r="F20" s="320"/>
      <c r="H20" s="320" t="str" cm="1">
        <f t="array" ref="H20">INDEX(LEN_IN[],24,MATCH(CONDITIONS!$E$3,Len_DB!$C$8:$H$8,0)+1)</f>
        <v>(2) Rib beam</v>
      </c>
      <c r="I20" s="320"/>
      <c r="J20" s="320"/>
      <c r="K20" s="320"/>
      <c r="L20" s="320"/>
    </row>
    <row r="21" spans="2:12" s="239" customFormat="1" ht="4.9000000000000004" customHeight="1" x14ac:dyDescent="0.25"/>
    <row r="22" spans="2:12" s="239" customFormat="1" x14ac:dyDescent="0.25">
      <c r="B22" s="239" t="str" cm="1">
        <f t="array" ref="B22">INDEX(LEN_IN[],23,MATCH(CONDITIONS!$E$3,Len_DB!$C$8:$H$8,0)+1)</f>
        <v>Wood type</v>
      </c>
      <c r="C22" s="317" t="s">
        <v>312</v>
      </c>
      <c r="D22" s="317"/>
      <c r="E22" s="317"/>
      <c r="F22" s="317"/>
      <c r="H22" s="239" t="str" cm="1">
        <f t="array" ref="H22">INDEX(LEN_IN[],25,MATCH(CONDITIONS!$E$3,Len_DB!$C$8:$H$8,0)+1)</f>
        <v>Wood type</v>
      </c>
      <c r="I22" s="317" t="s">
        <v>297</v>
      </c>
      <c r="J22" s="317"/>
      <c r="K22" s="317"/>
      <c r="L22" s="317"/>
    </row>
    <row r="23" spans="2:12" s="239" customFormat="1" ht="9.75" customHeight="1" x14ac:dyDescent="0.25"/>
    <row r="24" spans="2:12" s="239" customFormat="1" ht="15" x14ac:dyDescent="0.25">
      <c r="B24" s="319" t="str" cm="1">
        <f t="array" ref="B24">INDEX(LEN_IN[],26,MATCH(CONDITIONS!$E$3,Len_DB!$C$8:$H$8,0)+1)</f>
        <v>Geometry</v>
      </c>
      <c r="C24" s="319"/>
      <c r="D24" s="319"/>
      <c r="E24" s="319"/>
      <c r="F24" s="319"/>
      <c r="G24" s="319"/>
      <c r="H24" s="319"/>
      <c r="I24" s="319"/>
      <c r="J24" s="319"/>
      <c r="K24" s="319"/>
      <c r="L24" s="319"/>
    </row>
    <row r="25" spans="2:12" s="239" customFormat="1" ht="3" customHeight="1" x14ac:dyDescent="0.25"/>
    <row r="26" spans="2:12" s="239" customFormat="1" x14ac:dyDescent="0.25">
      <c r="B26" s="320" t="str" cm="1">
        <f t="array" ref="B26">INDEX(LEN_IN[],27,MATCH(CONDITIONS!$E$3,Len_DB!$C$8:$H$8,0)+1)</f>
        <v>(1) Slab</v>
      </c>
      <c r="C26" s="320"/>
      <c r="D26" s="320"/>
      <c r="E26" s="320"/>
      <c r="F26" s="320"/>
      <c r="H26" s="320" t="str" cm="1">
        <f t="array" ref="H26">INDEX(LEN_IN[],32,MATCH(CONDITIONS!$E$3,Len_DB!$C$8:$H$8,0)+1)</f>
        <v>(2) Rib beam</v>
      </c>
      <c r="I26" s="320"/>
      <c r="J26" s="320"/>
      <c r="K26" s="320"/>
      <c r="L26" s="320"/>
    </row>
    <row r="27" spans="2:12" s="239" customFormat="1" ht="7.5" customHeight="1" x14ac:dyDescent="0.25"/>
    <row r="28" spans="2:12" s="239" customFormat="1" ht="13.9" customHeight="1" thickBot="1" x14ac:dyDescent="0.3">
      <c r="B28" s="239" t="str" cm="1">
        <f t="array" ref="B28">INDEX(LEN_IN[],28,MATCH(CONDITIONS!$E$3,Len_DB!$C$8:$H$8,0)+1)</f>
        <v>CLT type</v>
      </c>
      <c r="C28" s="317" t="s">
        <v>1079</v>
      </c>
      <c r="D28" s="317"/>
      <c r="E28" s="317"/>
      <c r="F28" s="317"/>
      <c r="H28" s="239" t="str" cm="1">
        <f t="array" ref="H28">INDEX(LEN_IN[],33,MATCH(CONDITIONS!$E$3,Len_DB!$C$8:$H$8,0)+1)</f>
        <v>Minimum width</v>
      </c>
      <c r="I28" s="315" t="s">
        <v>1007</v>
      </c>
      <c r="J28" s="316"/>
      <c r="K28" s="241">
        <f>MAX(IF($K$30&lt;50+MAX(E46-25,E45)*2,"trave troppo stretta",_xlfn.CEILING.MATH(E43*50+2*MAX(E46-25,E45))),IF($K$30&lt;50+MAX(K46-25,K45)*2,"trave troppo stretta",_xlfn.CEILING.MATH(K43*50+2*MAX(K46-25,K45))))</f>
        <v>150</v>
      </c>
      <c r="L28" s="239" t="s">
        <v>65</v>
      </c>
    </row>
    <row r="29" spans="2:12" s="239" customFormat="1" ht="13.15" customHeight="1" thickTop="1" thickBot="1" x14ac:dyDescent="0.3">
      <c r="B29" s="239" t="str" cm="1">
        <f t="array" ref="B29">INDEX(LEN_IN[],29,MATCH(CONDITIONS!$E$3,Len_DB!$C$8:$H$8,0)+1)</f>
        <v>Height</v>
      </c>
      <c r="C29" s="315" t="s">
        <v>1004</v>
      </c>
      <c r="D29" s="316"/>
      <c r="E29" s="241">
        <f>INDEX(CLT[],MATCH(Input!$C$28,CLT[Code],0),2)</f>
        <v>80</v>
      </c>
      <c r="F29" s="239" t="s">
        <v>65</v>
      </c>
      <c r="H29" s="239" t="str" cm="1">
        <f t="array" ref="H29">INDEX(LEN_IN[],34,MATCH(CONDITIONS!$E$3,Len_DB!$C$8:$H$8,0)+1)</f>
        <v>Height</v>
      </c>
      <c r="I29" s="315" t="s">
        <v>1008</v>
      </c>
      <c r="J29" s="316"/>
      <c r="K29" s="243">
        <v>260</v>
      </c>
      <c r="L29" s="239" t="s">
        <v>65</v>
      </c>
    </row>
    <row r="30" spans="2:12" s="239" customFormat="1" ht="13.15" customHeight="1" thickTop="1" thickBot="1" x14ac:dyDescent="0.3">
      <c r="B30" s="239" t="str" cm="1">
        <f t="array" ref="B30">INDEX(LEN_IN[],30,MATCH(CONDITIONS!$E$3,Len_DB!$C$8:$H$8,0)+1)</f>
        <v>Base</v>
      </c>
      <c r="C30" s="315" t="s">
        <v>1005</v>
      </c>
      <c r="D30" s="316"/>
      <c r="E30" s="243">
        <v>800</v>
      </c>
      <c r="F30" s="239" t="s">
        <v>65</v>
      </c>
      <c r="H30" s="239" t="str" cm="1">
        <f t="array" ref="H30">INDEX(LEN_IN[],35,MATCH(CONDITIONS!$E$3,Len_DB!$C$8:$H$8,0)+1)</f>
        <v>Base</v>
      </c>
      <c r="I30" s="315" t="s">
        <v>1009</v>
      </c>
      <c r="J30" s="316"/>
      <c r="K30" s="243">
        <v>150</v>
      </c>
      <c r="L30" s="239" t="s">
        <v>65</v>
      </c>
    </row>
    <row r="31" spans="2:12" s="239" customFormat="1" ht="26.25" thickTop="1" x14ac:dyDescent="0.25">
      <c r="B31" s="240" t="str" cm="1">
        <f t="array" ref="B31">INDEX(LEN_IN[],31,MATCH(CONDITIONS!$E$3,Len_DB!$C$8:$H$8,0)+1)</f>
        <v>Rolling shear resistance</v>
      </c>
      <c r="C31" s="315" t="s">
        <v>1006</v>
      </c>
      <c r="D31" s="316"/>
      <c r="E31" s="241">
        <v>1.2</v>
      </c>
      <c r="F31" s="239" t="s">
        <v>993</v>
      </c>
    </row>
    <row r="32" spans="2:12" s="239" customFormat="1" ht="11.25" customHeight="1" thickBot="1" x14ac:dyDescent="0.3"/>
    <row r="33" spans="2:12" s="239" customFormat="1" ht="13.15" customHeight="1" thickTop="1" thickBot="1" x14ac:dyDescent="0.3">
      <c r="B33" s="239" t="str" cm="1">
        <f t="array" ref="B33">INDEX(LEN_IN[],36,MATCH(CONDITIONS!$E$3,Len_DB!$C$8:$H$8,0)+1)</f>
        <v>Beam span</v>
      </c>
      <c r="C33" s="315" t="s">
        <v>995</v>
      </c>
      <c r="D33" s="316"/>
      <c r="E33" s="243">
        <v>6000</v>
      </c>
      <c r="F33" s="239" t="s">
        <v>65</v>
      </c>
    </row>
    <row r="34" spans="2:12" s="239" customFormat="1" ht="3.75" customHeight="1" thickTop="1" x14ac:dyDescent="0.25"/>
    <row r="35" spans="2:12" s="239" customFormat="1" ht="150" customHeight="1" x14ac:dyDescent="0.25">
      <c r="B35" s="322"/>
      <c r="C35" s="322"/>
      <c r="D35" s="322"/>
      <c r="E35" s="322"/>
      <c r="F35" s="322"/>
      <c r="G35" s="322"/>
      <c r="H35" s="322"/>
      <c r="I35" s="322"/>
      <c r="J35" s="322"/>
      <c r="K35" s="322"/>
      <c r="L35" s="322"/>
    </row>
    <row r="36" spans="2:12" s="239" customFormat="1" ht="3.75" customHeight="1" x14ac:dyDescent="0.25"/>
    <row r="37" spans="2:12" s="239" customFormat="1" ht="15" x14ac:dyDescent="0.25">
      <c r="B37" s="319" t="str" cm="1">
        <f t="array" ref="B37">INDEX(LEN_IN[],37,MATCH(CONDITIONS!$E$3,Len_DB!$C$8:$H$8,0)+1)</f>
        <v>Connection system configuration</v>
      </c>
      <c r="C37" s="319"/>
      <c r="D37" s="319"/>
      <c r="E37" s="319"/>
      <c r="F37" s="319"/>
      <c r="G37" s="319"/>
      <c r="H37" s="319"/>
      <c r="I37" s="319"/>
      <c r="J37" s="319"/>
      <c r="K37" s="319"/>
      <c r="L37" s="319"/>
    </row>
    <row r="38" spans="2:12" s="239" customFormat="1" ht="3" customHeight="1" x14ac:dyDescent="0.25"/>
    <row r="39" spans="2:12" s="239" customFormat="1" x14ac:dyDescent="0.25">
      <c r="B39" s="320" t="str" cm="1">
        <f t="array" ref="B39">INDEX(LEN_IN[],38,MATCH(CONDITIONS!$E$3,Len_DB!$C$8:$H$8,0)+1)</f>
        <v>At Support</v>
      </c>
      <c r="C39" s="320"/>
      <c r="D39" s="320"/>
      <c r="E39" s="320"/>
      <c r="F39" s="320"/>
      <c r="H39" s="320" t="str" cm="1">
        <f t="array" ref="H39">INDEX(LEN_IN[],43,MATCH(CONDITIONS!$E$3,Len_DB!$C$8:$H$8,0)+1)</f>
        <v>At mid span</v>
      </c>
      <c r="I39" s="320"/>
      <c r="J39" s="320"/>
      <c r="K39" s="320"/>
      <c r="L39" s="320"/>
    </row>
    <row r="40" spans="2:12" s="239" customFormat="1" ht="4.9000000000000004" customHeight="1" x14ac:dyDescent="0.25"/>
    <row r="41" spans="2:12" s="239" customFormat="1" ht="26.45" customHeight="1" x14ac:dyDescent="0.25">
      <c r="B41" s="240" t="str" cm="1">
        <f t="array" ref="B41">INDEX(LEN_IN[],39,MATCH(CONDITIONS!$E$3,Len_DB!$C$8:$H$8,0)+1)</f>
        <v>SHARP METAL type</v>
      </c>
      <c r="C41" s="321" t="s">
        <v>719</v>
      </c>
      <c r="D41" s="321"/>
      <c r="E41" s="321"/>
      <c r="F41" s="321"/>
      <c r="H41" s="240" t="str" cm="1">
        <f t="array" ref="H41">INDEX(LEN_IN[],44,MATCH(CONDITIONS!$E$3,Len_DB!$C$8:$H$8,0)+1)</f>
        <v>SHARP METAL type</v>
      </c>
      <c r="I41" s="321" t="s">
        <v>719</v>
      </c>
      <c r="J41" s="321"/>
      <c r="K41" s="321"/>
      <c r="L41" s="321"/>
    </row>
    <row r="42" spans="2:12" s="239" customFormat="1" ht="13.15" customHeight="1" x14ac:dyDescent="0.25">
      <c r="B42" s="239" t="str" cm="1">
        <f t="array" ref="B42">INDEX(LEN_IN[],40,MATCH(CONDITIONS!$E$3,Len_DB!$C$8:$H$8,0)+1)</f>
        <v>Influence lenght</v>
      </c>
      <c r="C42" s="315" t="s">
        <v>996</v>
      </c>
      <c r="D42" s="316"/>
      <c r="E42" s="241">
        <f>$E$33/4</f>
        <v>1500</v>
      </c>
      <c r="F42" s="239" t="s">
        <v>65</v>
      </c>
      <c r="H42" s="239" t="str" cm="1">
        <f t="array" ref="H42">INDEX(LEN_IN[],45,MATCH(CONDITIONS!$E$3,Len_DB!$C$8:$H$8,0)+1)</f>
        <v>Influence lenght</v>
      </c>
      <c r="I42" s="315" t="s">
        <v>997</v>
      </c>
      <c r="J42" s="316"/>
      <c r="K42" s="241">
        <f>$E$33/2</f>
        <v>3000</v>
      </c>
      <c r="L42" s="239" t="s">
        <v>65</v>
      </c>
    </row>
    <row r="43" spans="2:12" s="239" customFormat="1" ht="25.5" x14ac:dyDescent="0.25">
      <c r="B43" s="240" t="str" cm="1">
        <f t="array" ref="B43">INDEX(LEN_IN[],41,MATCH(CONDITIONS!$E$3,Len_DB!$C$8:$H$8,0)+1)</f>
        <v>Number of SHARP METAL</v>
      </c>
      <c r="E43" s="318">
        <v>2</v>
      </c>
      <c r="F43" s="318"/>
      <c r="H43" s="240" t="str" cm="1">
        <f t="array" ref="H43">INDEX(LEN_IN[],46,MATCH(CONDITIONS!$E$3,Len_DB!$C$8:$H$8,0)+1)</f>
        <v>Number of SHARP METAL</v>
      </c>
      <c r="K43" s="318">
        <v>1</v>
      </c>
      <c r="L43" s="318"/>
    </row>
    <row r="44" spans="2:12" s="239" customFormat="1" ht="14.25" customHeight="1" x14ac:dyDescent="0.25">
      <c r="B44" s="239" t="str" cm="1">
        <f t="array" ref="B44">INDEX(LEN_IN[],42,MATCH(CONDITIONS!$E$3,Len_DB!$C$8:$H$8,0)+1)</f>
        <v>TBS MAX diameter</v>
      </c>
      <c r="C44" s="315" t="s">
        <v>999</v>
      </c>
      <c r="D44" s="316"/>
      <c r="E44" s="241">
        <v>8</v>
      </c>
      <c r="F44" s="239" t="s">
        <v>65</v>
      </c>
      <c r="H44" s="239" t="str" cm="1">
        <f t="array" ref="H44">INDEX(LEN_IN[],47,MATCH(CONDITIONS!$E$3,Len_DB!$C$8:$H$8,0)+1)</f>
        <v>TBS MAX diameter</v>
      </c>
      <c r="I44" s="315" t="s">
        <v>999</v>
      </c>
      <c r="J44" s="316"/>
      <c r="K44" s="241">
        <v>8</v>
      </c>
      <c r="L44" s="239" t="s">
        <v>65</v>
      </c>
    </row>
    <row r="45" spans="2:12" s="239" customFormat="1" ht="13.15" customHeight="1" x14ac:dyDescent="0.25">
      <c r="B45" s="239" t="s">
        <v>991</v>
      </c>
      <c r="E45" s="241">
        <f>_xlfn.CEILING.MATH(IF($K$30&lt;=150,25,$K$30/6),1)</f>
        <v>25</v>
      </c>
      <c r="F45" s="239" t="s">
        <v>65</v>
      </c>
      <c r="H45" s="239" t="s">
        <v>991</v>
      </c>
      <c r="K45" s="241">
        <f>_xlfn.CEILING.MATH(IF($K$30&lt;=150,25,$K$30/6),1)</f>
        <v>25</v>
      </c>
      <c r="L45" s="239" t="s">
        <v>65</v>
      </c>
    </row>
    <row r="46" spans="2:12" s="239" customFormat="1" ht="13.5" customHeight="1" x14ac:dyDescent="0.25">
      <c r="B46" s="242" t="s">
        <v>992</v>
      </c>
      <c r="C46" s="315" t="s">
        <v>998</v>
      </c>
      <c r="D46" s="316"/>
      <c r="E46" s="241">
        <f>5*E44</f>
        <v>40</v>
      </c>
      <c r="F46" s="239" t="s">
        <v>65</v>
      </c>
      <c r="H46" s="242" t="s">
        <v>992</v>
      </c>
      <c r="I46" s="315" t="s">
        <v>998</v>
      </c>
      <c r="J46" s="316"/>
      <c r="K46" s="241">
        <f>5*K44</f>
        <v>40</v>
      </c>
      <c r="L46" s="239" t="s">
        <v>65</v>
      </c>
    </row>
    <row r="47" spans="2:12" s="239" customFormat="1" ht="4.9000000000000004" customHeight="1" x14ac:dyDescent="0.25"/>
    <row r="48" spans="2:12" s="239" customFormat="1" ht="120" customHeight="1" x14ac:dyDescent="0.25">
      <c r="B48" s="322"/>
      <c r="C48" s="322"/>
      <c r="D48" s="322"/>
      <c r="E48" s="322"/>
      <c r="F48" s="322"/>
      <c r="H48" s="322"/>
      <c r="I48" s="322"/>
      <c r="J48" s="322"/>
      <c r="K48" s="322"/>
      <c r="L48" s="322"/>
    </row>
    <row r="49" s="239" customFormat="1" ht="6.75" customHeight="1" x14ac:dyDescent="0.25"/>
  </sheetData>
  <sheetProtection algorithmName="SHA-512" hashValue="Af+c0VAbEAljcQnkslldxmUPEsDU8XAxae8H5sP5Dd90zoRzeIU3UpOyY1My/sCqyvkUrLvCZQO5VJSilC83Mg==" saltValue="/xwxwVodaQ7Xb4aqZ6kXPA==" spinCount="100000" sheet="1" objects="1" scenarios="1" formatColumns="0" formatRows="0" selectLockedCells="1"/>
  <mergeCells count="49">
    <mergeCell ref="B48:F48"/>
    <mergeCell ref="H48:L48"/>
    <mergeCell ref="B18:L18"/>
    <mergeCell ref="B20:F20"/>
    <mergeCell ref="H20:L20"/>
    <mergeCell ref="C33:D33"/>
    <mergeCell ref="I28:J28"/>
    <mergeCell ref="I29:J29"/>
    <mergeCell ref="I30:J30"/>
    <mergeCell ref="I42:J42"/>
    <mergeCell ref="C42:D42"/>
    <mergeCell ref="C44:D44"/>
    <mergeCell ref="C46:D46"/>
    <mergeCell ref="I46:J46"/>
    <mergeCell ref="I44:J44"/>
    <mergeCell ref="C8:F8"/>
    <mergeCell ref="C10:F10"/>
    <mergeCell ref="B12:L12"/>
    <mergeCell ref="C9:F9"/>
    <mergeCell ref="C6:F6"/>
    <mergeCell ref="C7:F7"/>
    <mergeCell ref="I6:L7"/>
    <mergeCell ref="D1:I1"/>
    <mergeCell ref="K1:L1"/>
    <mergeCell ref="B3:L3"/>
    <mergeCell ref="I5:L5"/>
    <mergeCell ref="C5:D5"/>
    <mergeCell ref="I15:L15"/>
    <mergeCell ref="I14:L14"/>
    <mergeCell ref="E43:F43"/>
    <mergeCell ref="K43:L43"/>
    <mergeCell ref="B37:L37"/>
    <mergeCell ref="B39:F39"/>
    <mergeCell ref="H39:L39"/>
    <mergeCell ref="C41:F41"/>
    <mergeCell ref="I41:L41"/>
    <mergeCell ref="B24:L24"/>
    <mergeCell ref="C28:F28"/>
    <mergeCell ref="B26:F26"/>
    <mergeCell ref="H26:L26"/>
    <mergeCell ref="B35:L35"/>
    <mergeCell ref="C22:F22"/>
    <mergeCell ref="I22:L22"/>
    <mergeCell ref="C14:D14"/>
    <mergeCell ref="C15:D15"/>
    <mergeCell ref="C16:D16"/>
    <mergeCell ref="C29:D29"/>
    <mergeCell ref="C31:D31"/>
    <mergeCell ref="C30:D30"/>
  </mergeCells>
  <phoneticPr fontId="76" type="noConversion"/>
  <conditionalFormatting sqref="E29 E31">
    <cfRule type="cellIs" dxfId="439" priority="25" stopIfTrue="1" operator="equal">
      <formula>"OK!!"</formula>
    </cfRule>
    <cfRule type="cellIs" dxfId="438" priority="26" stopIfTrue="1" operator="equal">
      <formula>"NO!!"</formula>
    </cfRule>
  </conditionalFormatting>
  <conditionalFormatting sqref="E42">
    <cfRule type="cellIs" dxfId="437" priority="13" stopIfTrue="1" operator="equal">
      <formula>"OK!!"</formula>
    </cfRule>
    <cfRule type="cellIs" dxfId="436" priority="14" stopIfTrue="1" operator="equal">
      <formula>"NO!!"</formula>
    </cfRule>
  </conditionalFormatting>
  <conditionalFormatting sqref="K42">
    <cfRule type="cellIs" dxfId="435" priority="11" stopIfTrue="1" operator="equal">
      <formula>"OK!!"</formula>
    </cfRule>
    <cfRule type="cellIs" dxfId="434" priority="12" stopIfTrue="1" operator="equal">
      <formula>"NO!!"</formula>
    </cfRule>
  </conditionalFormatting>
  <conditionalFormatting sqref="E44">
    <cfRule type="cellIs" dxfId="433" priority="9" stopIfTrue="1" operator="equal">
      <formula>"OK!!"</formula>
    </cfRule>
    <cfRule type="cellIs" dxfId="432" priority="10" stopIfTrue="1" operator="equal">
      <formula>"NO!!"</formula>
    </cfRule>
  </conditionalFormatting>
  <conditionalFormatting sqref="K44">
    <cfRule type="cellIs" dxfId="431" priority="7" stopIfTrue="1" operator="equal">
      <formula>"OK!!"</formula>
    </cfRule>
    <cfRule type="cellIs" dxfId="430" priority="8" stopIfTrue="1" operator="equal">
      <formula>"NO!!"</formula>
    </cfRule>
  </conditionalFormatting>
  <conditionalFormatting sqref="E46">
    <cfRule type="cellIs" dxfId="429" priority="5" stopIfTrue="1" operator="equal">
      <formula>"OK!!"</formula>
    </cfRule>
    <cfRule type="cellIs" dxfId="428" priority="6" stopIfTrue="1" operator="equal">
      <formula>"NO!!"</formula>
    </cfRule>
  </conditionalFormatting>
  <conditionalFormatting sqref="K46">
    <cfRule type="cellIs" dxfId="427" priority="3" stopIfTrue="1" operator="equal">
      <formula>"OK!!"</formula>
    </cfRule>
    <cfRule type="cellIs" dxfId="426" priority="4" stopIfTrue="1" operator="equal">
      <formula>"NO!!"</formula>
    </cfRule>
  </conditionalFormatting>
  <dataValidations count="4">
    <dataValidation type="list" allowBlank="1" showInputMessage="1" showErrorMessage="1" sqref="I15" xr:uid="{8584C594-D70B-4FC5-9B91-6EDA74BABA3C}">
      <formula1>"1,2,3"</formula1>
    </dataValidation>
    <dataValidation type="list" allowBlank="1" showInputMessage="1" showErrorMessage="1" sqref="E43:F43 K43:L43" xr:uid="{B93D31B0-72F1-4685-9CEC-EEE43E14619B}">
      <formula1>"1,2,3,4,5,6,7,8,9,10"</formula1>
    </dataValidation>
    <dataValidation type="list" allowBlank="1" showInputMessage="1" showErrorMessage="1" sqref="C28:F28" xr:uid="{DCA2E95B-EEF2-4472-A383-4B178E1EBD86}">
      <formula1>INDIRECT("CLT[Code]")</formula1>
    </dataValidation>
    <dataValidation type="list" allowBlank="1" showInputMessage="1" showErrorMessage="1" sqref="I22:L22 C22:F22" xr:uid="{5F20B91B-F5A6-4ED1-A361-284D33D00C97}">
      <formula1>INDIRECT("TimberType[Classe]")</formula1>
    </dataValidation>
  </dataValidations>
  <pageMargins left="0" right="0" top="0" bottom="0" header="0" footer="0"/>
  <pageSetup paperSize="9" scale="97" fitToHeight="0" orientation="portrait" r:id="rId1"/>
  <headerFooter>
    <oddHeader>&amp;L&amp;G</oddHeader>
  </headerFooter>
  <ignoredErrors>
    <ignoredError sqref="C5:D5" unlockedFormula="1"/>
  </ignoredErrors>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F9D9AE51-CF81-4CEA-AF16-95BFC87BC1EA}">
          <x14:formula1>
            <xm:f>RefText_DB!$B$4:$B$5</xm:f>
          </x14:formula1>
          <xm:sqref>I5:L5</xm:sqref>
        </x14:dataValidation>
        <x14:dataValidation type="list" allowBlank="1" showInputMessage="1" showErrorMessage="1" xr:uid="{9C81497B-C5BB-49DC-8634-BE8B2806C914}">
          <x14:formula1>
            <xm:f>Dati!$A$78:$A$82</xm:f>
          </x14:formula1>
          <xm:sqref>I14</xm:sqref>
        </x14:dataValidation>
        <x14:dataValidation type="list" allowBlank="1" showInputMessage="1" showErrorMessage="1" xr:uid="{8DB0D517-2219-4824-BC5B-3616A749C7C8}">
          <x14:formula1>
            <xm:f>RefText_DB!$B$9:$B$11</xm:f>
          </x14:formula1>
          <xm:sqref>I41:L41 C41:F41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0FC6-FA1A-4BA9-B1CC-F42E7C3D45C2}">
  <sheetPr codeName="shReferanceTextDB">
    <tabColor theme="6" tint="0.59999389629810485"/>
  </sheetPr>
  <dimension ref="B3:B17"/>
  <sheetViews>
    <sheetView workbookViewId="0">
      <selection activeCell="B4" sqref="B4"/>
    </sheetView>
  </sheetViews>
  <sheetFormatPr defaultRowHeight="15" x14ac:dyDescent="0.25"/>
  <cols>
    <col min="2" max="2" width="43.28515625" customWidth="1"/>
  </cols>
  <sheetData>
    <row r="3" spans="2:2" ht="3.75" customHeight="1" x14ac:dyDescent="0.25"/>
    <row r="4" spans="2:2" x14ac:dyDescent="0.25">
      <c r="B4" t="s">
        <v>936</v>
      </c>
    </row>
    <row r="5" spans="2:2" x14ac:dyDescent="0.25">
      <c r="B5" t="s">
        <v>290</v>
      </c>
    </row>
    <row r="6" spans="2:2" ht="7.5" customHeight="1" x14ac:dyDescent="0.25"/>
    <row r="8" spans="2:2" ht="3.75" customHeight="1" x14ac:dyDescent="0.25"/>
    <row r="9" spans="2:2" x14ac:dyDescent="0.25">
      <c r="B9" t="s">
        <v>700</v>
      </c>
    </row>
    <row r="10" spans="2:2" x14ac:dyDescent="0.25">
      <c r="B10" t="s">
        <v>719</v>
      </c>
    </row>
    <row r="11" spans="2:2" x14ac:dyDescent="0.25">
      <c r="B11" t="s">
        <v>720</v>
      </c>
    </row>
    <row r="12" spans="2:2" ht="7.5" customHeight="1" x14ac:dyDescent="0.25"/>
    <row r="14" spans="2:2" ht="3.75" customHeight="1" x14ac:dyDescent="0.25"/>
    <row r="15" spans="2:2" x14ac:dyDescent="0.25">
      <c r="B15" t="str">
        <f>IF(K60&lt;8,INDEX(LEN_OUT[],35,MATCH(CONDITIONS!$E$3,LEN_OUT[#Headers],0)),"")</f>
        <v>Vibrations not perceptible</v>
      </c>
    </row>
    <row r="16" spans="2:2" x14ac:dyDescent="0.25">
      <c r="B16" t="str">
        <f>IF(K61&lt;8,INDEX(LEN_OUT[],36,MATCH(CONDITIONS!$E$3,LEN_OUT[#Headers],0)),"")</f>
        <v>Perceptible vibrations not annoying</v>
      </c>
    </row>
    <row r="17" spans="2:2" x14ac:dyDescent="0.25">
      <c r="B17" t="str">
        <f>IF(K62&lt;8,INDEX(LEN_OUT[],37,MATCH(CONDITIONS!$E$3,LEN_OUT[#Headers],0)),"")</f>
        <v>Unacceptable vibrations</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E9DB0-DBC1-41BC-AAF4-C65922BA3CA7}">
  <sheetPr codeName="sh2Output">
    <pageSetUpPr fitToPage="1"/>
  </sheetPr>
  <dimension ref="A1:XDI145"/>
  <sheetViews>
    <sheetView showGridLines="0" showWhiteSpace="0" zoomScaleNormal="100" zoomScaleSheetLayoutView="100" workbookViewId="0">
      <pane ySplit="1" topLeftCell="A47" activePane="bottomLeft" state="frozen"/>
      <selection activeCell="E3" sqref="E3:E4"/>
      <selection pane="bottomLeft" activeCell="E53" sqref="E53"/>
    </sheetView>
  </sheetViews>
  <sheetFormatPr defaultColWidth="0" defaultRowHeight="15" customHeight="1" zeroHeight="1" x14ac:dyDescent="0.25"/>
  <cols>
    <col min="1" max="1" width="1.42578125" style="120" customWidth="1"/>
    <col min="2" max="2" width="17.140625" style="120" customWidth="1"/>
    <col min="3" max="5" width="8.5703125" style="120" customWidth="1"/>
    <col min="6" max="6" width="7.140625" style="120" customWidth="1"/>
    <col min="7" max="7" width="5.7109375" style="120" customWidth="1"/>
    <col min="8" max="8" width="17.140625" style="120" customWidth="1"/>
    <col min="9" max="11" width="8.5703125" style="120" customWidth="1"/>
    <col min="12" max="12" width="7.140625" style="120" customWidth="1"/>
    <col min="13" max="13" width="1.42578125" style="120" customWidth="1"/>
    <col min="45" max="16337" width="0" style="120" hidden="1"/>
    <col min="16338" max="16384" width="9.140625" style="120" hidden="1"/>
  </cols>
  <sheetData>
    <row r="1" spans="2:72" ht="45" customHeight="1" thickBot="1" x14ac:dyDescent="0.3">
      <c r="B1" s="218"/>
      <c r="C1" s="218"/>
      <c r="D1" s="323" t="s">
        <v>690</v>
      </c>
      <c r="E1" s="323"/>
      <c r="F1" s="323"/>
      <c r="G1" s="323"/>
      <c r="H1" s="323"/>
      <c r="I1" s="323"/>
      <c r="J1" s="219"/>
      <c r="K1" s="323" t="s">
        <v>586</v>
      </c>
      <c r="L1" s="323"/>
    </row>
    <row r="2" spans="2:72" ht="4.5" customHeight="1" x14ac:dyDescent="0.25">
      <c r="AS2"/>
      <c r="AT2"/>
      <c r="AU2"/>
      <c r="AV2"/>
      <c r="AW2"/>
      <c r="AX2"/>
      <c r="AY2"/>
      <c r="AZ2"/>
      <c r="BA2"/>
      <c r="BB2"/>
      <c r="BC2"/>
      <c r="BD2"/>
      <c r="BE2"/>
      <c r="BF2"/>
      <c r="BG2"/>
      <c r="BH2"/>
      <c r="BI2"/>
      <c r="BJ2"/>
      <c r="BK2"/>
      <c r="BL2"/>
      <c r="BM2"/>
      <c r="BN2"/>
      <c r="BO2"/>
      <c r="BP2"/>
      <c r="BQ2"/>
      <c r="BR2"/>
      <c r="BS2"/>
      <c r="BT2"/>
    </row>
    <row r="3" spans="2:72" ht="18.75" customHeight="1" x14ac:dyDescent="0.25">
      <c r="B3" s="319" t="str">
        <f>Input!B3</f>
        <v>Project informations</v>
      </c>
      <c r="C3" s="319"/>
      <c r="D3" s="319"/>
      <c r="E3" s="319"/>
      <c r="F3" s="319"/>
      <c r="G3" s="319"/>
      <c r="H3" s="319"/>
      <c r="I3" s="319"/>
      <c r="J3" s="319"/>
      <c r="K3" s="319"/>
      <c r="L3" s="319"/>
      <c r="AS3"/>
      <c r="AT3"/>
      <c r="AU3"/>
      <c r="AV3"/>
      <c r="AW3"/>
      <c r="AX3"/>
      <c r="AY3"/>
      <c r="AZ3"/>
      <c r="BA3"/>
      <c r="BB3"/>
      <c r="BC3"/>
      <c r="BD3"/>
      <c r="BE3"/>
      <c r="BF3"/>
      <c r="BG3"/>
      <c r="BH3"/>
      <c r="BI3"/>
      <c r="BJ3"/>
      <c r="BK3"/>
      <c r="BL3"/>
      <c r="BM3"/>
      <c r="BN3"/>
      <c r="BO3"/>
      <c r="BP3"/>
      <c r="BQ3"/>
      <c r="BR3"/>
      <c r="BS3"/>
      <c r="BT3"/>
    </row>
    <row r="4" spans="2:72" ht="7.5" customHeight="1" thickBot="1" x14ac:dyDescent="0.3">
      <c r="AS4"/>
      <c r="AT4"/>
      <c r="AU4"/>
      <c r="AV4"/>
      <c r="AW4"/>
      <c r="AX4"/>
      <c r="AY4"/>
      <c r="AZ4"/>
      <c r="BA4"/>
      <c r="BB4"/>
      <c r="BC4"/>
      <c r="BD4"/>
      <c r="BE4"/>
      <c r="BF4"/>
      <c r="BG4"/>
      <c r="BH4"/>
      <c r="BI4"/>
      <c r="BJ4"/>
      <c r="BK4"/>
      <c r="BL4"/>
      <c r="BM4"/>
      <c r="BN4"/>
      <c r="BO4"/>
      <c r="BP4"/>
      <c r="BQ4"/>
      <c r="BR4"/>
      <c r="BS4"/>
      <c r="BT4"/>
    </row>
    <row r="5" spans="2:72" ht="13.5" customHeight="1" thickTop="1" thickBot="1" x14ac:dyDescent="0.3">
      <c r="B5" s="220" t="str">
        <f>Input!B5</f>
        <v>Data</v>
      </c>
      <c r="C5" s="340">
        <f ca="1">Input!C5</f>
        <v>46223</v>
      </c>
      <c r="D5" s="340"/>
      <c r="E5" s="221"/>
      <c r="F5" s="221"/>
      <c r="H5" s="220" t="str" cm="1">
        <f t="array" ref="H5">INDEX(LEN_IN[],8,MATCH(CONDITIONS!$E$3,Len_DB!$C$8:$H$8,0)+1)</f>
        <v>Standard</v>
      </c>
      <c r="I5" s="341" t="str">
        <f>IF(ISBLANK(Input!I5),"",Input!I5)</f>
        <v>UNI EN 1995:2014</v>
      </c>
      <c r="J5" s="342"/>
      <c r="K5" s="342"/>
      <c r="L5" s="343"/>
      <c r="AS5"/>
      <c r="AT5"/>
      <c r="AU5"/>
      <c r="AV5"/>
      <c r="AW5"/>
      <c r="AX5"/>
      <c r="AY5"/>
      <c r="AZ5"/>
      <c r="BA5"/>
      <c r="BB5"/>
      <c r="BC5"/>
      <c r="BD5"/>
      <c r="BE5"/>
      <c r="BF5"/>
      <c r="BG5"/>
      <c r="BH5"/>
      <c r="BI5"/>
      <c r="BJ5"/>
      <c r="BK5"/>
      <c r="BL5"/>
      <c r="BM5"/>
      <c r="BN5"/>
      <c r="BO5"/>
      <c r="BP5"/>
      <c r="BQ5"/>
      <c r="BR5"/>
      <c r="BS5"/>
      <c r="BT5"/>
    </row>
    <row r="6" spans="2:72" ht="13.5" customHeight="1" thickTop="1" thickBot="1" x14ac:dyDescent="0.3">
      <c r="B6" s="220" t="str">
        <f>Input!B6</f>
        <v>Municipality</v>
      </c>
      <c r="C6" s="337" t="str">
        <f>IF(ISBLANK(Input!C6),"",Input!C6)</f>
        <v/>
      </c>
      <c r="D6" s="338"/>
      <c r="E6" s="338"/>
      <c r="F6" s="339"/>
      <c r="H6" s="220" t="str" cm="1">
        <f t="array" ref="H6">INDEX(LEN_IN[],9,MATCH(CONDITIONS!$E$3,Len_DB!$C$8:$H$8,0)+1)</f>
        <v>Notes</v>
      </c>
      <c r="I6" s="344" t="str">
        <f>IF(ISBLANK(Input!I6),"",Input!I6)</f>
        <v/>
      </c>
      <c r="J6" s="345"/>
      <c r="K6" s="345"/>
      <c r="L6" s="346"/>
      <c r="AS6"/>
      <c r="AT6"/>
      <c r="AU6"/>
      <c r="AV6"/>
      <c r="AW6"/>
      <c r="AX6"/>
      <c r="AY6"/>
      <c r="AZ6"/>
      <c r="BA6"/>
      <c r="BB6"/>
      <c r="BC6"/>
      <c r="BD6"/>
      <c r="BE6"/>
      <c r="BF6"/>
      <c r="BG6"/>
      <c r="BH6"/>
      <c r="BI6"/>
      <c r="BJ6"/>
      <c r="BK6"/>
      <c r="BL6"/>
      <c r="BM6"/>
      <c r="BN6"/>
      <c r="BO6"/>
      <c r="BP6"/>
      <c r="BQ6"/>
      <c r="BR6"/>
      <c r="BS6"/>
      <c r="BT6"/>
    </row>
    <row r="7" spans="2:72" ht="13.5" customHeight="1" thickTop="1" thickBot="1" x14ac:dyDescent="0.3">
      <c r="B7" s="220" t="str">
        <f>Input!B7</f>
        <v>Province</v>
      </c>
      <c r="C7" s="337" t="str">
        <f>IF(ISBLANK(Input!C7),"",Input!C7)</f>
        <v/>
      </c>
      <c r="D7" s="338"/>
      <c r="E7" s="338"/>
      <c r="F7" s="339"/>
      <c r="I7" s="347"/>
      <c r="J7" s="348"/>
      <c r="K7" s="348"/>
      <c r="L7" s="349"/>
      <c r="AS7"/>
      <c r="AT7"/>
      <c r="AU7"/>
      <c r="AV7"/>
      <c r="AW7"/>
      <c r="AX7"/>
      <c r="AY7"/>
      <c r="AZ7"/>
      <c r="BA7"/>
      <c r="BB7"/>
      <c r="BC7"/>
      <c r="BD7"/>
      <c r="BE7"/>
      <c r="BF7"/>
      <c r="BG7"/>
      <c r="BH7"/>
      <c r="BI7"/>
      <c r="BJ7"/>
      <c r="BK7"/>
      <c r="BL7"/>
      <c r="BM7"/>
      <c r="BN7"/>
      <c r="BO7"/>
      <c r="BP7"/>
      <c r="BQ7"/>
      <c r="BR7"/>
      <c r="BS7"/>
      <c r="BT7"/>
    </row>
    <row r="8" spans="2:72" ht="13.5" customHeight="1" thickTop="1" thickBot="1" x14ac:dyDescent="0.3">
      <c r="B8" s="220" t="str">
        <f>Input!B8</f>
        <v>Project</v>
      </c>
      <c r="C8" s="337" t="str">
        <f>IF(ISBLANK(Input!C8),"",Input!C8)</f>
        <v/>
      </c>
      <c r="D8" s="338"/>
      <c r="E8" s="338"/>
      <c r="F8" s="339"/>
      <c r="AS8"/>
      <c r="AT8"/>
      <c r="AU8"/>
      <c r="AV8"/>
      <c r="AW8"/>
      <c r="AX8"/>
      <c r="AY8"/>
      <c r="AZ8"/>
      <c r="BA8"/>
      <c r="BB8"/>
      <c r="BC8"/>
      <c r="BD8"/>
      <c r="BE8"/>
      <c r="BF8"/>
      <c r="BG8"/>
      <c r="BH8"/>
      <c r="BI8"/>
      <c r="BJ8"/>
      <c r="BK8"/>
      <c r="BL8"/>
      <c r="BM8"/>
      <c r="BN8"/>
      <c r="BO8"/>
      <c r="BP8"/>
      <c r="BQ8"/>
      <c r="BR8"/>
      <c r="BS8"/>
      <c r="BT8"/>
    </row>
    <row r="9" spans="2:72" ht="13.5" customHeight="1" thickTop="1" thickBot="1" x14ac:dyDescent="0.3">
      <c r="B9" s="220" t="str">
        <f>Input!B9</f>
        <v>Designer</v>
      </c>
      <c r="C9" s="337" t="str">
        <f>IF(ISBLANK(Input!C9),"",Input!C9)</f>
        <v/>
      </c>
      <c r="D9" s="338"/>
      <c r="E9" s="338"/>
      <c r="F9" s="339"/>
      <c r="I9"/>
      <c r="J9"/>
      <c r="K9"/>
      <c r="L9"/>
      <c r="AS9"/>
      <c r="AT9"/>
      <c r="AU9"/>
      <c r="AV9"/>
      <c r="AW9"/>
      <c r="AX9"/>
      <c r="AY9"/>
      <c r="AZ9"/>
      <c r="BA9"/>
      <c r="BB9"/>
      <c r="BC9"/>
      <c r="BD9"/>
      <c r="BE9"/>
      <c r="BF9"/>
      <c r="BG9"/>
      <c r="BH9"/>
      <c r="BI9"/>
      <c r="BJ9"/>
      <c r="BK9"/>
      <c r="BL9"/>
      <c r="BM9"/>
      <c r="BN9"/>
      <c r="BO9"/>
      <c r="BP9"/>
      <c r="BQ9"/>
      <c r="BR9"/>
      <c r="BS9"/>
      <c r="BT9"/>
    </row>
    <row r="10" spans="2:72" ht="13.5" customHeight="1" thickTop="1" thickBot="1" x14ac:dyDescent="0.3">
      <c r="B10" s="220" t="str">
        <f>Input!B10</f>
        <v>Client</v>
      </c>
      <c r="C10" s="337" t="str">
        <f>IF(ISBLANK(Input!C10),"",Input!C10)</f>
        <v/>
      </c>
      <c r="D10" s="338"/>
      <c r="E10" s="338"/>
      <c r="F10" s="339"/>
      <c r="AS10"/>
      <c r="AT10"/>
      <c r="AU10"/>
      <c r="AV10"/>
      <c r="AW10"/>
      <c r="AX10"/>
      <c r="AY10"/>
      <c r="AZ10"/>
      <c r="BA10"/>
      <c r="BB10"/>
      <c r="BC10"/>
      <c r="BD10"/>
      <c r="BE10"/>
      <c r="BF10"/>
      <c r="BG10"/>
      <c r="BH10"/>
      <c r="BI10"/>
      <c r="BJ10"/>
      <c r="BK10"/>
      <c r="BL10"/>
      <c r="BM10"/>
      <c r="BN10"/>
      <c r="BO10"/>
      <c r="BP10"/>
      <c r="BQ10"/>
      <c r="BR10"/>
      <c r="BS10"/>
      <c r="BT10"/>
    </row>
    <row r="11" spans="2:72" ht="11.25" customHeight="1" thickTop="1" x14ac:dyDescent="0.25"/>
    <row r="12" spans="2:72" ht="18.75" customHeight="1" x14ac:dyDescent="0.25">
      <c r="B12" s="319" t="str" cm="1">
        <f t="array" ref="B12">INDEX(LEN_OUT[],1,MATCH(CONDITIONS!$E$3,Len_DB!$C$8:$H$8,0)+1)</f>
        <v>Resistance verification - ULS (t  = 0)</v>
      </c>
      <c r="C12" s="319"/>
      <c r="D12" s="319"/>
      <c r="E12" s="319"/>
      <c r="F12" s="319"/>
      <c r="G12" s="319"/>
      <c r="H12" s="319"/>
      <c r="I12" s="319"/>
      <c r="J12" s="319"/>
      <c r="K12" s="319"/>
      <c r="L12" s="319"/>
    </row>
    <row r="13" spans="2:72" ht="3.75" customHeight="1" x14ac:dyDescent="0.25"/>
    <row r="14" spans="2:72" ht="22.5" customHeight="1" x14ac:dyDescent="0.25"/>
    <row r="15" spans="2:72" ht="3.75" customHeight="1" x14ac:dyDescent="0.25"/>
    <row r="16" spans="2:72" ht="13.5" customHeight="1" x14ac:dyDescent="0.25">
      <c r="B16" s="320" t="str" cm="1">
        <f t="array" ref="B16">INDEX(LEN_OUT[],2,MATCH(CONDITIONS!$E$3,Len_DB!$C$8:$H$8,0)+1)</f>
        <v>(1) Slab</v>
      </c>
      <c r="C16" s="320"/>
      <c r="D16" s="320"/>
      <c r="E16" s="320"/>
      <c r="F16" s="320"/>
      <c r="H16" s="320" t="str" cm="1">
        <f t="array" ref="H16">INDEX(LEN_OUT[],5,MATCH(CONDITIONS!$E$3,Len_DB!$C$8:$H$8,0)+1)</f>
        <v>(2) Rib beam</v>
      </c>
      <c r="I16" s="320"/>
      <c r="J16" s="320"/>
      <c r="K16" s="320"/>
      <c r="L16" s="320"/>
    </row>
    <row r="17" spans="2:12" ht="7.5" customHeight="1" x14ac:dyDescent="0.25"/>
    <row r="18" spans="2:12" ht="15" customHeight="1" thickBot="1" x14ac:dyDescent="0.3">
      <c r="D18" s="315" t="s">
        <v>1000</v>
      </c>
      <c r="E18" s="316"/>
      <c r="J18" s="315" t="s">
        <v>1000</v>
      </c>
      <c r="K18" s="316"/>
    </row>
    <row r="19" spans="2:12" ht="13.5" customHeight="1" thickTop="1" thickBot="1" x14ac:dyDescent="0.3">
      <c r="B19" s="120" t="str" cm="1">
        <f t="array" ref="B19">INDEX(LEN_OUT[],3,MATCH(CONDITIONS!$E$3,Len_DB!$C$8:$H$8,0)+1)</f>
        <v>Press-bending</v>
      </c>
      <c r="D19" s="335">
        <f>'Calculation Report'!$E$363</f>
        <v>0.25837067296397853</v>
      </c>
      <c r="E19" s="336"/>
      <c r="F19" s="222" t="str">
        <f>IF(D19&lt;=1,"OK","NO")</f>
        <v>OK</v>
      </c>
      <c r="H19" s="120" t="str" cm="1">
        <f t="array" ref="H19">INDEX(LEN_OUT[],6,MATCH(CONDITIONS!$E$3,Len_DB!$C$8:$H$8,0)+1)</f>
        <v>Tens-bending</v>
      </c>
      <c r="J19" s="335">
        <f>'Calculation Report'!$E$420</f>
        <v>0.47891422557575691</v>
      </c>
      <c r="K19" s="336"/>
      <c r="L19" s="222" t="str">
        <f>IF(J19&lt;=1,"OK","NO")</f>
        <v>OK</v>
      </c>
    </row>
    <row r="20" spans="2:12" ht="13.5" customHeight="1" thickTop="1" thickBot="1" x14ac:dyDescent="0.3">
      <c r="B20" s="120" t="str" cm="1">
        <f t="array" ref="B20">INDEX(LEN_OUT[],4,MATCH(CONDITIONS!$E$3,Len_DB!$C$8:$H$8,0)+1)</f>
        <v>Shear</v>
      </c>
      <c r="D20" s="335">
        <f>'Calculation Report'!$G$371/'Calculation Report'!$E$377</f>
        <v>0.18180441660937721</v>
      </c>
      <c r="E20" s="336"/>
      <c r="F20" s="222" t="str">
        <f>IF(D20&lt;=1,"OK","NO")</f>
        <v>OK</v>
      </c>
      <c r="H20" s="120" t="str" cm="1">
        <f t="array" ref="H20">INDEX(LEN_OUT[],7,MATCH(CONDITIONS!$E$3,Len_DB!$C$8:$H$8,0)+1)</f>
        <v>Shear</v>
      </c>
      <c r="J20" s="335">
        <f>'Calculation Report'!$G$428/'Calculation Report'!$G$435</f>
        <v>0.30228505789683885</v>
      </c>
      <c r="K20" s="336"/>
      <c r="L20" s="222" t="str">
        <f>IF(J20&lt;=1,"OK","NO")</f>
        <v>OK</v>
      </c>
    </row>
    <row r="21" spans="2:12" ht="3.75" customHeight="1" thickTop="1" x14ac:dyDescent="0.25"/>
    <row r="22" spans="2:12" ht="13.5" customHeight="1" x14ac:dyDescent="0.25">
      <c r="B22" s="320" t="str" cm="1">
        <f t="array" ref="B22">INDEX(LEN_OUT[],8,MATCH(CONDITIONS!$E$3,Len_DB!$C$8:$H$8,0)+1)</f>
        <v>Connection</v>
      </c>
      <c r="C22" s="320"/>
      <c r="D22" s="320"/>
      <c r="E22" s="320"/>
      <c r="F22" s="320"/>
    </row>
    <row r="23" spans="2:12" ht="7.5" customHeight="1" x14ac:dyDescent="0.25"/>
    <row r="24" spans="2:12" ht="15" customHeight="1" thickBot="1" x14ac:dyDescent="0.3">
      <c r="D24" s="315" t="s">
        <v>1000</v>
      </c>
      <c r="E24" s="316"/>
    </row>
    <row r="25" spans="2:12" ht="15" customHeight="1" thickTop="1" thickBot="1" x14ac:dyDescent="0.3">
      <c r="B25" s="120" t="str" cm="1">
        <f t="array" ref="B25">INDEX(LEN_OUT[],9,MATCH(CONDITIONS!$E$3,Len_DB!$C$8:$H$8,0)+1)</f>
        <v>Connection verification</v>
      </c>
      <c r="D25" s="335">
        <f>MAX('Calculation Report'!$E$459/'Calculation Report'!$G$459,'Calculation Report'!$E$482/'Calculation Report'!$G$482)</f>
        <v>0.61027197665914112</v>
      </c>
      <c r="E25" s="336"/>
      <c r="F25" s="222" t="str">
        <f>IF(D25&lt;=1,"OK","NO")</f>
        <v>OK</v>
      </c>
    </row>
    <row r="26" spans="2:12" ht="9.75" customHeight="1" thickTop="1" x14ac:dyDescent="0.25"/>
    <row r="27" spans="2:12" ht="18.75" customHeight="1" x14ac:dyDescent="0.25">
      <c r="B27" s="319" t="str" cm="1">
        <f t="array" ref="B27">INDEX(LEN_OUT[],10,MATCH(CONDITIONS!$E$3,Len_DB!$C$8:$H$8,0)+1)</f>
        <v>Resistance verification - ULS (t  = ∞)</v>
      </c>
      <c r="C27" s="319"/>
      <c r="D27" s="319"/>
      <c r="E27" s="319"/>
      <c r="F27" s="319"/>
      <c r="G27" s="319"/>
      <c r="H27" s="319"/>
      <c r="I27" s="319"/>
      <c r="J27" s="319"/>
      <c r="K27" s="319"/>
      <c r="L27" s="319"/>
    </row>
    <row r="28" spans="2:12" ht="3.75" customHeight="1" x14ac:dyDescent="0.25"/>
    <row r="29" spans="2:12" ht="22.5" customHeight="1" x14ac:dyDescent="0.25"/>
    <row r="30" spans="2:12" ht="3.75" customHeight="1" x14ac:dyDescent="0.25"/>
    <row r="31" spans="2:12" ht="13.5" customHeight="1" x14ac:dyDescent="0.25">
      <c r="B31" s="320" t="str" cm="1">
        <f t="array" ref="B31">INDEX(LEN_OUT[],11,MATCH(CONDITIONS!$E$3,Len_DB!$C$8:$H$8,0)+1)</f>
        <v>(1) Slab</v>
      </c>
      <c r="C31" s="320"/>
      <c r="D31" s="320"/>
      <c r="E31" s="320"/>
      <c r="F31" s="320"/>
      <c r="H31" s="320" t="str" cm="1">
        <f t="array" ref="H31">INDEX(LEN_OUT[],14,MATCH(CONDITIONS!$E$3,Len_DB!$C$8:$H$8,0)+1)</f>
        <v>(2) Rib beam</v>
      </c>
      <c r="I31" s="320"/>
      <c r="J31" s="320"/>
      <c r="K31" s="320"/>
      <c r="L31" s="320"/>
    </row>
    <row r="32" spans="2:12" ht="7.5" customHeight="1" x14ac:dyDescent="0.25"/>
    <row r="33" spans="2:12" ht="15" customHeight="1" thickBot="1" x14ac:dyDescent="0.3">
      <c r="D33" s="315" t="s">
        <v>1000</v>
      </c>
      <c r="E33" s="316"/>
      <c r="J33" s="315" t="s">
        <v>1000</v>
      </c>
      <c r="K33" s="316"/>
    </row>
    <row r="34" spans="2:12" ht="13.5" customHeight="1" thickTop="1" thickBot="1" x14ac:dyDescent="0.3">
      <c r="B34" s="120" t="str" cm="1">
        <f t="array" ref="B34">INDEX(LEN_OUT[],12,MATCH(CONDITIONS!$E$3,Len_DB!$C$8:$H$8,0)+1)</f>
        <v>Press-bending</v>
      </c>
      <c r="D34" s="335">
        <f>'Calculation Report'!$E$662</f>
        <v>0.25837067296397859</v>
      </c>
      <c r="E34" s="336"/>
      <c r="F34" s="222" t="str">
        <f>IF(D34&lt;=1,"OK","NO")</f>
        <v>OK</v>
      </c>
      <c r="H34" s="120" t="str" cm="1">
        <f t="array" ref="H34">INDEX(LEN_OUT[],15,MATCH(CONDITIONS!$E$3,Len_DB!$C$8:$H$8,0)+1)</f>
        <v>Tens-bending</v>
      </c>
      <c r="J34" s="335">
        <f>'Calculation Report'!$E$720</f>
        <v>0.47891422557575702</v>
      </c>
      <c r="K34" s="336"/>
      <c r="L34" s="222" t="str">
        <f>IF(J34&lt;=1,"OK","NO")</f>
        <v>OK</v>
      </c>
    </row>
    <row r="35" spans="2:12" ht="13.5" customHeight="1" thickTop="1" thickBot="1" x14ac:dyDescent="0.3">
      <c r="B35" s="120" t="str" cm="1">
        <f t="array" ref="B35">INDEX(LEN_OUT[],13,MATCH(CONDITIONS!$E$3,Len_DB!$C$8:$H$8,0)+1)</f>
        <v>Shear</v>
      </c>
      <c r="D35" s="335">
        <f>'Calculation Report'!$G$670/'Calculation Report'!$E$678</f>
        <v>0.10941350061885385</v>
      </c>
      <c r="E35" s="336"/>
      <c r="F35" s="222" t="str">
        <f>IF(D35&lt;=1,"OK","NO")</f>
        <v>OK</v>
      </c>
      <c r="H35" s="120" t="str" cm="1">
        <f t="array" ref="H35">INDEX(LEN_OUT[],16,MATCH(CONDITIONS!$E$3,Len_DB!$C$8:$H$8,0)+1)</f>
        <v>Shear</v>
      </c>
      <c r="J35" s="335">
        <f>'Calculation Report'!$G$728/'Calculation Report'!$E$735</f>
        <v>0.30228505789683879</v>
      </c>
      <c r="K35" s="336"/>
      <c r="L35" s="222" t="str">
        <f>IF(J35&lt;=1,"OK","NO")</f>
        <v>OK</v>
      </c>
    </row>
    <row r="36" spans="2:12" ht="3.75" customHeight="1" thickTop="1" x14ac:dyDescent="0.25"/>
    <row r="37" spans="2:12" ht="15.75" thickBot="1" x14ac:dyDescent="0.3">
      <c r="D37" s="315" t="s">
        <v>1025</v>
      </c>
      <c r="E37" s="316"/>
      <c r="J37" s="315" t="s">
        <v>1025</v>
      </c>
      <c r="K37" s="316"/>
    </row>
    <row r="38" spans="2:12" ht="13.5" customHeight="1" thickTop="1" thickBot="1" x14ac:dyDescent="0.3">
      <c r="B38" s="120" t="str" cm="1">
        <f t="array" ref="B38">INDEX(LEN_OUT[],12,MATCH(CONDITIONS!$E$3,Len_DB!$C$8:$H$8,0)+1)</f>
        <v>Press-bending</v>
      </c>
      <c r="D38" s="335">
        <f>'Calculation Report'!$E$513</f>
        <v>0.18237929856280841</v>
      </c>
      <c r="E38" s="336"/>
      <c r="F38" s="222" t="str">
        <f>IF(D38&lt;=1,"OK","NO")</f>
        <v>OK</v>
      </c>
      <c r="H38" s="120" t="str" cm="1">
        <f t="array" ref="H38">INDEX(LEN_OUT[],15,MATCH(CONDITIONS!$E$3,Len_DB!$C$8:$H$8,0)+1)</f>
        <v>Tens-bending</v>
      </c>
      <c r="J38" s="335">
        <f>'Calculation Report'!$E$568</f>
        <v>0.33805710040641679</v>
      </c>
      <c r="K38" s="336"/>
      <c r="L38" s="222" t="str">
        <f>IF(J38&lt;=1,"OK","NO")</f>
        <v>OK</v>
      </c>
    </row>
    <row r="39" spans="2:12" ht="13.5" customHeight="1" thickTop="1" thickBot="1" x14ac:dyDescent="0.3">
      <c r="B39" s="120" t="str" cm="1">
        <f t="array" ref="B39">INDEX(LEN_OUT[],13,MATCH(CONDITIONS!$E$3,Len_DB!$C$8:$H$8,0)+1)</f>
        <v>Shear</v>
      </c>
      <c r="D39" s="335">
        <f>'Calculation Report'!$G$521</f>
        <v>9.9352607432536655E-2</v>
      </c>
      <c r="E39" s="336"/>
      <c r="F39" s="222" t="str">
        <f>IF(D39&lt;=1,"OK","NO")</f>
        <v>OK</v>
      </c>
      <c r="H39" s="120" t="str" cm="1">
        <f t="array" ref="H39">INDEX(LEN_OUT[],16,MATCH(CONDITIONS!$E$3,Len_DB!$C$8:$H$8,0)+1)</f>
        <v>Shear</v>
      </c>
      <c r="J39" s="335">
        <f>'Calculation Report'!$G$577</f>
        <v>0.24017792553083414</v>
      </c>
      <c r="K39" s="336"/>
      <c r="L39" s="222" t="str">
        <f>IF(J39&lt;=1,"OK","NO")</f>
        <v>OK</v>
      </c>
    </row>
    <row r="40" spans="2:12" ht="3.75" customHeight="1" thickTop="1" x14ac:dyDescent="0.25"/>
    <row r="41" spans="2:12" ht="13.5" customHeight="1" x14ac:dyDescent="0.25">
      <c r="B41" s="320" t="str" cm="1">
        <f t="array" ref="B41">INDEX(LEN_OUT[],17,MATCH(CONDITIONS!$E$3,Len_DB!$C$8:$H$8,0)+1)</f>
        <v>Connection</v>
      </c>
      <c r="C41" s="320"/>
      <c r="D41" s="320"/>
      <c r="E41" s="320"/>
      <c r="F41" s="320"/>
    </row>
    <row r="42" spans="2:12" ht="7.5" customHeight="1" x14ac:dyDescent="0.25"/>
    <row r="43" spans="2:12" ht="15" customHeight="1" thickBot="1" x14ac:dyDescent="0.3">
      <c r="D43" s="315" t="s">
        <v>1000</v>
      </c>
      <c r="E43" s="316"/>
    </row>
    <row r="44" spans="2:12" ht="15" customHeight="1" thickTop="1" thickBot="1" x14ac:dyDescent="0.3">
      <c r="B44" s="120" t="str" cm="1">
        <f t="array" ref="B44">INDEX(LEN_OUT[],18,MATCH(CONDITIONS!$E$3,Len_DB!$C$8:$H$8,0)+1)</f>
        <v>Connection verification</v>
      </c>
      <c r="D44" s="335">
        <f>MAX('Calculation Report'!$E$754/'Calculation Report'!$G$754,'Calculation Report'!$E$776/'Calculation Report'!$G$776)</f>
        <v>0.61027197665914124</v>
      </c>
      <c r="E44" s="336"/>
      <c r="F44" s="222" t="str">
        <f>IF(D44&lt;=1,"OK","NO")</f>
        <v>OK</v>
      </c>
    </row>
    <row r="45" spans="2:12" ht="3.75" customHeight="1" thickTop="1" x14ac:dyDescent="0.25"/>
    <row r="46" spans="2:12" ht="15" customHeight="1" thickBot="1" x14ac:dyDescent="0.3">
      <c r="D46" s="315" t="s">
        <v>1025</v>
      </c>
      <c r="E46" s="316"/>
    </row>
    <row r="47" spans="2:12" ht="15" customHeight="1" thickTop="1" thickBot="1" x14ac:dyDescent="0.3">
      <c r="B47" s="120" t="str" cm="1">
        <f t="array" ref="B47">INDEX(LEN_OUT[],18,MATCH(CONDITIONS!$E$3,Len_DB!$C$8:$H$8,0)+1)</f>
        <v>Connection verification</v>
      </c>
      <c r="D47" s="335">
        <f>MAX('Calculation Report'!E610/'Calculation Report'!G610,'Calculation Report'!E628/'Calculation Report'!G628)</f>
        <v>0.43078021881821726</v>
      </c>
      <c r="E47" s="336"/>
      <c r="F47" s="222" t="str">
        <f>IF(D47&lt;=1,"OK","NO")</f>
        <v>OK</v>
      </c>
    </row>
    <row r="48" spans="2:12" ht="9.75" customHeight="1" thickTop="1" x14ac:dyDescent="0.25"/>
    <row r="49" spans="2:12" ht="18.75" customHeight="1" x14ac:dyDescent="0.25">
      <c r="B49" s="319" t="str" cm="1">
        <f t="array" ref="B49">INDEX(LEN_OUT[],19,MATCH(CONDITIONS!$E$3,Len_DB!$C$8:$H$8,0)+1)</f>
        <v>Deflection verification - ELS (t = 0)</v>
      </c>
      <c r="C49" s="319"/>
      <c r="D49" s="319"/>
      <c r="E49" s="319"/>
      <c r="F49" s="319"/>
      <c r="G49" s="319"/>
      <c r="H49" s="319"/>
      <c r="I49" s="319"/>
      <c r="J49" s="319"/>
      <c r="K49" s="319"/>
      <c r="L49" s="319"/>
    </row>
    <row r="50" spans="2:12" ht="3.75" customHeight="1" x14ac:dyDescent="0.25"/>
    <row r="51" spans="2:12" ht="21.75" customHeight="1" x14ac:dyDescent="0.25"/>
    <row r="52" spans="2:12" ht="3.75" customHeight="1" thickBot="1" x14ac:dyDescent="0.3"/>
    <row r="53" spans="2:12" ht="15" customHeight="1" thickTop="1" thickBot="1" x14ac:dyDescent="0.3">
      <c r="B53" s="120" t="str" cm="1">
        <f t="array" ref="B53">INDEX(LEN_OUT[],20,MATCH(CONDITIONS!$E$3,Len_DB!$C$8:$H$8,0)+1)</f>
        <v>Maximum deflection</v>
      </c>
      <c r="D53" s="256" t="s">
        <v>1026</v>
      </c>
      <c r="E53" s="253">
        <v>300</v>
      </c>
    </row>
    <row r="54" spans="2:12" ht="13.5" customHeight="1" thickTop="1" thickBot="1" x14ac:dyDescent="0.3"/>
    <row r="55" spans="2:12" ht="12.75" customHeight="1" thickTop="1" thickBot="1" x14ac:dyDescent="0.3">
      <c r="B55" s="120" t="str" cm="1">
        <f t="array" ref="B55">INDEX(LEN_OUT[],21,MATCH(CONDITIONS!$E$3,Len_DB!$C$8:$H$8,0)+1)</f>
        <v>Istantaneous deflection</v>
      </c>
      <c r="D55" s="257" t="s">
        <v>1027</v>
      </c>
      <c r="E55" s="223">
        <f>'Calculation Report'!$B$927</f>
        <v>8.6192106695738744</v>
      </c>
      <c r="F55" s="125" t="s">
        <v>65</v>
      </c>
      <c r="I55" s="257" t="s">
        <v>1028</v>
      </c>
      <c r="J55" s="224">
        <f>Input!$E$33/$E$53</f>
        <v>20</v>
      </c>
      <c r="K55" s="125" t="s">
        <v>65</v>
      </c>
      <c r="L55" s="222" t="str">
        <f>IF(E55&lt;=J55,"OK","NO")</f>
        <v>OK</v>
      </c>
    </row>
    <row r="56" spans="2:12" ht="9.75" customHeight="1" thickTop="1" x14ac:dyDescent="0.25"/>
    <row r="57" spans="2:12" ht="18.75" customHeight="1" x14ac:dyDescent="0.25">
      <c r="B57" s="319" t="str" cm="1">
        <f t="array" ref="B57">INDEX(LEN_OUT[],22,MATCH(CONDITIONS!$E$3,Len_DB!$C$8:$H$8,0)+1)</f>
        <v>Deflection verification - ELS (t = ∞)</v>
      </c>
      <c r="C57" s="319"/>
      <c r="D57" s="319"/>
      <c r="E57" s="319"/>
      <c r="F57" s="319"/>
      <c r="G57" s="319"/>
      <c r="H57" s="319"/>
      <c r="I57" s="319"/>
      <c r="J57" s="319"/>
      <c r="K57" s="319"/>
      <c r="L57" s="319"/>
    </row>
    <row r="58" spans="2:12" ht="3.75" customHeight="1" x14ac:dyDescent="0.25"/>
    <row r="59" spans="2:12" ht="21.75" customHeight="1" x14ac:dyDescent="0.25"/>
    <row r="60" spans="2:12" ht="3.75" customHeight="1" thickBot="1" x14ac:dyDescent="0.3"/>
    <row r="61" spans="2:12" ht="15" customHeight="1" thickTop="1" thickBot="1" x14ac:dyDescent="0.3">
      <c r="B61" s="120" t="str" cm="1">
        <f t="array" ref="B61">INDEX(LEN_OUT[],23,MATCH(CONDITIONS!$E$3,Len_DB!$C$8:$H$8,0)+1)</f>
        <v>Maximum deflection</v>
      </c>
      <c r="D61" s="256" t="s">
        <v>1026</v>
      </c>
      <c r="E61" s="253">
        <v>200</v>
      </c>
    </row>
    <row r="62" spans="2:12" ht="13.5" customHeight="1" thickTop="1" thickBot="1" x14ac:dyDescent="0.3"/>
    <row r="63" spans="2:12" ht="13.5" customHeight="1" thickTop="1" thickBot="1" x14ac:dyDescent="0.3">
      <c r="B63" s="120" t="str" cm="1">
        <f t="array" ref="B63">INDEX(LEN_OUT[],24,MATCH(CONDITIONS!$E$3,Len_DB!$C$8:$H$8,0)+1)</f>
        <v>Final deflection</v>
      </c>
      <c r="D63" s="247" t="s">
        <v>1027</v>
      </c>
      <c r="E63" s="223">
        <f>'Calculation Report'!$G$942</f>
        <v>10.034676599532784</v>
      </c>
      <c r="F63" s="125" t="s">
        <v>65</v>
      </c>
      <c r="I63" s="247" t="s">
        <v>1028</v>
      </c>
      <c r="J63" s="224">
        <f>Input!$E$33/$E$61</f>
        <v>30</v>
      </c>
      <c r="K63" s="125" t="s">
        <v>65</v>
      </c>
      <c r="L63" s="222" t="str">
        <f>IF(E63&lt;=J63,"OK","NO")</f>
        <v>OK</v>
      </c>
    </row>
    <row r="64" spans="2:12" ht="9.75" customHeight="1" thickTop="1" x14ac:dyDescent="0.25"/>
    <row r="65" spans="2:12" ht="45" customHeight="1" thickBot="1" x14ac:dyDescent="0.3">
      <c r="B65" s="218"/>
      <c r="C65" s="218"/>
      <c r="D65" s="323" t="s">
        <v>690</v>
      </c>
      <c r="E65" s="323"/>
      <c r="F65" s="323"/>
      <c r="G65" s="323"/>
      <c r="H65" s="323"/>
      <c r="I65" s="323"/>
      <c r="J65" s="219"/>
      <c r="K65" s="323" t="s">
        <v>586</v>
      </c>
      <c r="L65" s="323"/>
    </row>
    <row r="66" spans="2:12" ht="4.5" customHeight="1" x14ac:dyDescent="0.25"/>
    <row r="67" spans="2:12" ht="18.75" customHeight="1" x14ac:dyDescent="0.25">
      <c r="B67" s="319" t="str" cm="1">
        <f t="array" ref="B67">INDEX(LEN_OUT[],25,MATCH(CONDITIONS!$E$3,Len_DB!$C$8:$H$8,0)+1)</f>
        <v>Vibration verification</v>
      </c>
      <c r="C67" s="319"/>
      <c r="D67" s="319"/>
      <c r="E67" s="319"/>
      <c r="F67" s="319"/>
      <c r="G67" s="319"/>
      <c r="H67" s="319"/>
      <c r="I67" s="319"/>
      <c r="J67" s="319"/>
      <c r="K67" s="319"/>
      <c r="L67" s="319"/>
    </row>
    <row r="68" spans="2:12" ht="3.75" customHeight="1" x14ac:dyDescent="0.25"/>
    <row r="69" spans="2:12" ht="21.75" customHeight="1" x14ac:dyDescent="0.25"/>
    <row r="70" spans="2:12" ht="3.75" customHeight="1" thickBot="1" x14ac:dyDescent="0.3"/>
    <row r="71" spans="2:12" ht="15" customHeight="1" thickTop="1" thickBot="1" x14ac:dyDescent="0.3">
      <c r="B71" s="120" t="str" cm="1">
        <f t="array" ref="B71">INDEX(LEN_OUT[],26,MATCH(CONDITIONS!$E$3,Len_DB!$C$8:$H$8,0)+1)</f>
        <v>Lateral stiffness</v>
      </c>
      <c r="C71" s="258" t="s">
        <v>1029</v>
      </c>
      <c r="D71" s="352">
        <f>MIN(EJeff!J21:K21)*EJeff!$D$3/EJeff!$B$3</f>
        <v>7333333.3333333321</v>
      </c>
      <c r="E71" s="353"/>
      <c r="F71" s="120" t="s">
        <v>789</v>
      </c>
      <c r="H71" s="120" t="str" cm="1">
        <f t="array" ref="H71">INDEX(LEN_OUT[],29,MATCH(CONDITIONS!$E$3,Len_DB!$C$8:$H$8,0)+1)</f>
        <v>Fundamental Frequency</v>
      </c>
      <c r="J71" s="258" t="s">
        <v>1030</v>
      </c>
      <c r="K71" s="225">
        <f>'Calculation Report'!$G$975</f>
        <v>7.606719237126268</v>
      </c>
      <c r="L71" s="125" t="s">
        <v>263</v>
      </c>
    </row>
    <row r="72" spans="2:12" ht="13.5" customHeight="1" thickTop="1" thickBot="1" x14ac:dyDescent="0.3">
      <c r="B72" s="120" t="str" cm="1">
        <f t="array" ref="B72">INDEX(LEN_OUT[],27,MATCH(CONDITIONS!$E$3,Len_DB!$C$8:$H$8,0)+1)</f>
        <v>Damping</v>
      </c>
      <c r="C72" s="350" t="s">
        <v>275</v>
      </c>
      <c r="D72" s="351"/>
      <c r="E72" s="254">
        <v>0.04</v>
      </c>
      <c r="K72" s="226"/>
    </row>
    <row r="73" spans="2:12" ht="13.5" customHeight="1" thickTop="1" x14ac:dyDescent="0.25">
      <c r="B73" s="120" t="str" cm="1">
        <f t="array" ref="B73">INDEX(LEN_OUT[],28,MATCH(CONDITIONS!$E$3,Len_DB!$C$8:$H$8,0)+1)</f>
        <v>Collaborating width</v>
      </c>
      <c r="C73" s="350" t="s">
        <v>1</v>
      </c>
      <c r="D73" s="351"/>
      <c r="E73" s="225">
        <f>Input!$E$30/1000</f>
        <v>0.8</v>
      </c>
      <c r="F73" s="120" t="s">
        <v>17</v>
      </c>
    </row>
    <row r="74" spans="2:12" ht="9.75" customHeight="1" thickBot="1" x14ac:dyDescent="0.3"/>
    <row r="75" spans="2:12" ht="15" customHeight="1" thickTop="1" thickBot="1" x14ac:dyDescent="0.3">
      <c r="B75" s="120" t="str" cm="1">
        <f t="array" ref="B75">INDEX(LEN_OUT[],31,MATCH(CONDITIONS!$E$3,Len_DB!$C$8:$H$8,0)+1)</f>
        <v>Istantaneous deflection</v>
      </c>
      <c r="D75" s="258" t="s">
        <v>265</v>
      </c>
      <c r="E75" s="223">
        <f>'Calculation Report'!G982</f>
        <v>0.58041822690733158</v>
      </c>
      <c r="F75" s="125" t="s">
        <v>65</v>
      </c>
      <c r="H75" s="120" t="str" cm="1">
        <f t="array" ref="H75">INDEX(LEN_OUT[],30,MATCH(CONDITIONS!$E$3,Len_DB!$C$8:$H$8,0)+1)</f>
        <v>Deflection limit</v>
      </c>
      <c r="I75" s="227" t="s">
        <v>1031</v>
      </c>
      <c r="J75" s="255">
        <v>1</v>
      </c>
      <c r="K75" s="125" t="s">
        <v>65</v>
      </c>
      <c r="L75" s="222" t="str">
        <f>IF(E75&lt;=J75,"OK","NO")</f>
        <v>OK</v>
      </c>
    </row>
    <row r="76" spans="2:12" ht="3.75" customHeight="1" thickTop="1" x14ac:dyDescent="0.25"/>
    <row r="77" spans="2:12" ht="21.75" customHeight="1" x14ac:dyDescent="0.25"/>
    <row r="78" spans="2:12" ht="3.75" customHeight="1" thickBot="1" x14ac:dyDescent="0.3"/>
    <row r="79" spans="2:12" ht="15" customHeight="1" thickTop="1" thickBot="1" x14ac:dyDescent="0.3">
      <c r="B79" s="120" t="str">
        <f>INDEX(LEN_OUT[],32,MATCH(CONDITIONS!$E$3,LEN_OUT[#Headers],0))</f>
        <v>Istantaneous velocity</v>
      </c>
      <c r="D79" s="258" t="s">
        <v>271</v>
      </c>
      <c r="E79" s="223">
        <f>'Calculation Report'!$G$992*1000</f>
        <v>2.41830367460134</v>
      </c>
      <c r="F79" s="125" t="s">
        <v>791</v>
      </c>
      <c r="H79" s="120" t="str" cm="1">
        <f t="array" ref="H79">INDEX(LEN_OUT[],33,MATCH(CONDITIONS!$E$3,Len_DB!$C$8:$H$8,0)+1)</f>
        <v>Maximum velocity</v>
      </c>
      <c r="I79" s="227" t="s">
        <v>793</v>
      </c>
      <c r="J79" s="223">
        <f>'Calculation Report'!$G$996*1000</f>
        <v>8.4556121308830878</v>
      </c>
      <c r="K79" s="125" t="s">
        <v>791</v>
      </c>
      <c r="L79" s="222" t="str">
        <f>IF(E79&lt;=J79,"OK","NO")</f>
        <v>OK</v>
      </c>
    </row>
    <row r="80" spans="2:12" ht="3.75" customHeight="1" thickTop="1" x14ac:dyDescent="0.25"/>
    <row r="81" spans="2:12" ht="15" customHeight="1" x14ac:dyDescent="0.25">
      <c r="B81" s="120" t="str">
        <f>IF(K71&lt;8,INDEX(LEN_OUT[],34,MATCH(CONDITIONS!$E$3,LEN_OUT[#Headers],0)),"")</f>
        <v>Maximum acceleration</v>
      </c>
      <c r="D81" s="247" t="str">
        <f>IF(K71&lt;8,"a","")</f>
        <v>a</v>
      </c>
      <c r="E81" s="228">
        <f>IF(K71&lt;8,'Calculation Report'!$G$992*1000,"")</f>
        <v>2.41830367460134</v>
      </c>
      <c r="F81" s="125" t="str">
        <f>IF(K71&lt;8,"mm/s2","")</f>
        <v>mm/s2</v>
      </c>
      <c r="H81" s="334" t="str">
        <f>IF(K71&lt;8,IF(E81&lt;=0.1,RefText_DB!$B$15,IF(E81&lt;0.35,RefText_DB!$B$16,RefText_DB!$B$17)),"")</f>
        <v>Unacceptable vibrations</v>
      </c>
      <c r="I81" s="334"/>
      <c r="J81" s="334"/>
      <c r="K81" s="334"/>
      <c r="L81" s="334"/>
    </row>
    <row r="82" spans="2:12" ht="15" customHeight="1" x14ac:dyDescent="0.25"/>
    <row r="118" ht="13.5" hidden="1" customHeight="1" x14ac:dyDescent="0.25"/>
    <row r="119" ht="13.5" hidden="1" customHeight="1" x14ac:dyDescent="0.25"/>
    <row r="120" ht="13.5" hidden="1" customHeight="1" x14ac:dyDescent="0.25"/>
    <row r="121" ht="13.5" hidden="1" customHeight="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sheetData>
  <sheetProtection algorithmName="SHA-512" hashValue="piUsbiC9s89f5ZzEQBw9s+0n9wJRTJcGsy5aD3HVIDoZOIA82K2WH1stK1IdeT2lH7moe6s9b65YwkMhidSd+Q==" saltValue="0am7g5mmlHr61eaqXBcLJg==" spinCount="100000" sheet="1" objects="1" scenarios="1" selectLockedCells="1"/>
  <mergeCells count="52">
    <mergeCell ref="C72:D72"/>
    <mergeCell ref="C73:D73"/>
    <mergeCell ref="D33:E33"/>
    <mergeCell ref="D37:E37"/>
    <mergeCell ref="D46:E46"/>
    <mergeCell ref="D43:E43"/>
    <mergeCell ref="D38:E38"/>
    <mergeCell ref="B67:L67"/>
    <mergeCell ref="J33:K33"/>
    <mergeCell ref="D71:E71"/>
    <mergeCell ref="K65:L65"/>
    <mergeCell ref="B49:L49"/>
    <mergeCell ref="B57:L57"/>
    <mergeCell ref="J37:K37"/>
    <mergeCell ref="J35:K35"/>
    <mergeCell ref="D1:I1"/>
    <mergeCell ref="K1:L1"/>
    <mergeCell ref="B12:L12"/>
    <mergeCell ref="C5:D5"/>
    <mergeCell ref="I5:L5"/>
    <mergeCell ref="C6:F6"/>
    <mergeCell ref="I6:L7"/>
    <mergeCell ref="C7:F7"/>
    <mergeCell ref="B27:L27"/>
    <mergeCell ref="C8:F8"/>
    <mergeCell ref="C9:F9"/>
    <mergeCell ref="C10:F10"/>
    <mergeCell ref="D19:E19"/>
    <mergeCell ref="J19:K19"/>
    <mergeCell ref="D20:E20"/>
    <mergeCell ref="J20:K20"/>
    <mergeCell ref="B16:F16"/>
    <mergeCell ref="H16:L16"/>
    <mergeCell ref="D18:E18"/>
    <mergeCell ref="D24:E24"/>
    <mergeCell ref="J18:K18"/>
    <mergeCell ref="H81:L81"/>
    <mergeCell ref="B3:L3"/>
    <mergeCell ref="J38:K38"/>
    <mergeCell ref="D39:E39"/>
    <mergeCell ref="J39:K39"/>
    <mergeCell ref="B41:F41"/>
    <mergeCell ref="D44:E44"/>
    <mergeCell ref="D47:E47"/>
    <mergeCell ref="B22:F22"/>
    <mergeCell ref="D25:E25"/>
    <mergeCell ref="B31:F31"/>
    <mergeCell ref="H31:L31"/>
    <mergeCell ref="D34:E34"/>
    <mergeCell ref="J34:K34"/>
    <mergeCell ref="D35:E35"/>
    <mergeCell ref="D65:I65"/>
  </mergeCells>
  <conditionalFormatting sqref="F19:F20 L55">
    <cfRule type="cellIs" dxfId="425" priority="30" operator="equal">
      <formula>"OK"</formula>
    </cfRule>
  </conditionalFormatting>
  <conditionalFormatting sqref="F19:F20 L55">
    <cfRule type="cellIs" dxfId="424" priority="29" operator="equal">
      <formula>"NO"</formula>
    </cfRule>
  </conditionalFormatting>
  <conditionalFormatting sqref="F25">
    <cfRule type="cellIs" dxfId="423" priority="28" operator="equal">
      <formula>"OK"</formula>
    </cfRule>
  </conditionalFormatting>
  <conditionalFormatting sqref="F25">
    <cfRule type="cellIs" dxfId="422" priority="27" operator="equal">
      <formula>"NO"</formula>
    </cfRule>
  </conditionalFormatting>
  <conditionalFormatting sqref="L19">
    <cfRule type="cellIs" dxfId="421" priority="26" operator="equal">
      <formula>"OK"</formula>
    </cfRule>
  </conditionalFormatting>
  <conditionalFormatting sqref="L19">
    <cfRule type="cellIs" dxfId="420" priority="25" operator="equal">
      <formula>"NO"</formula>
    </cfRule>
  </conditionalFormatting>
  <conditionalFormatting sqref="L20">
    <cfRule type="cellIs" dxfId="419" priority="24" operator="equal">
      <formula>"OK"</formula>
    </cfRule>
  </conditionalFormatting>
  <conditionalFormatting sqref="L20">
    <cfRule type="cellIs" dxfId="418" priority="23" operator="equal">
      <formula>"NO"</formula>
    </cfRule>
  </conditionalFormatting>
  <conditionalFormatting sqref="F34:F35">
    <cfRule type="cellIs" dxfId="417" priority="22" operator="equal">
      <formula>"OK"</formula>
    </cfRule>
  </conditionalFormatting>
  <conditionalFormatting sqref="F34:F35">
    <cfRule type="cellIs" dxfId="416" priority="21" operator="equal">
      <formula>"NO"</formula>
    </cfRule>
  </conditionalFormatting>
  <conditionalFormatting sqref="L34">
    <cfRule type="cellIs" dxfId="415" priority="20" operator="equal">
      <formula>"OK"</formula>
    </cfRule>
  </conditionalFormatting>
  <conditionalFormatting sqref="L34">
    <cfRule type="cellIs" dxfId="414" priority="19" operator="equal">
      <formula>"NO"</formula>
    </cfRule>
  </conditionalFormatting>
  <conditionalFormatting sqref="L35">
    <cfRule type="cellIs" dxfId="413" priority="18" operator="equal">
      <formula>"OK"</formula>
    </cfRule>
  </conditionalFormatting>
  <conditionalFormatting sqref="L35">
    <cfRule type="cellIs" dxfId="412" priority="17" operator="equal">
      <formula>"NO"</formula>
    </cfRule>
  </conditionalFormatting>
  <conditionalFormatting sqref="F44">
    <cfRule type="cellIs" dxfId="411" priority="16" operator="equal">
      <formula>"OK"</formula>
    </cfRule>
  </conditionalFormatting>
  <conditionalFormatting sqref="F44">
    <cfRule type="cellIs" dxfId="410" priority="15" operator="equal">
      <formula>"NO"</formula>
    </cfRule>
  </conditionalFormatting>
  <conditionalFormatting sqref="F38:F39">
    <cfRule type="cellIs" dxfId="409" priority="14" operator="equal">
      <formula>"OK"</formula>
    </cfRule>
  </conditionalFormatting>
  <conditionalFormatting sqref="F38:F39">
    <cfRule type="cellIs" dxfId="408" priority="13" operator="equal">
      <formula>"NO"</formula>
    </cfRule>
  </conditionalFormatting>
  <conditionalFormatting sqref="L38">
    <cfRule type="cellIs" dxfId="407" priority="12" operator="equal">
      <formula>"OK"</formula>
    </cfRule>
  </conditionalFormatting>
  <conditionalFormatting sqref="L38">
    <cfRule type="cellIs" dxfId="406" priority="11" operator="equal">
      <formula>"NO"</formula>
    </cfRule>
  </conditionalFormatting>
  <conditionalFormatting sqref="L39">
    <cfRule type="cellIs" dxfId="405" priority="10" operator="equal">
      <formula>"OK"</formula>
    </cfRule>
  </conditionalFormatting>
  <conditionalFormatting sqref="L39">
    <cfRule type="cellIs" dxfId="404" priority="9" operator="equal">
      <formula>"NO"</formula>
    </cfRule>
  </conditionalFormatting>
  <conditionalFormatting sqref="F47">
    <cfRule type="cellIs" dxfId="403" priority="8" operator="equal">
      <formula>"OK"</formula>
    </cfRule>
  </conditionalFormatting>
  <conditionalFormatting sqref="F47">
    <cfRule type="cellIs" dxfId="402" priority="7" operator="equal">
      <formula>"NO"</formula>
    </cfRule>
  </conditionalFormatting>
  <conditionalFormatting sqref="L63">
    <cfRule type="cellIs" dxfId="401" priority="6" operator="equal">
      <formula>"OK"</formula>
    </cfRule>
  </conditionalFormatting>
  <conditionalFormatting sqref="L63">
    <cfRule type="cellIs" dxfId="400" priority="5" operator="equal">
      <formula>"NO"</formula>
    </cfRule>
  </conditionalFormatting>
  <conditionalFormatting sqref="L75">
    <cfRule type="cellIs" dxfId="399" priority="4" operator="equal">
      <formula>"OK"</formula>
    </cfRule>
  </conditionalFormatting>
  <conditionalFormatting sqref="L75">
    <cfRule type="cellIs" dxfId="398" priority="3" operator="equal">
      <formula>"NO"</formula>
    </cfRule>
  </conditionalFormatting>
  <conditionalFormatting sqref="L79">
    <cfRule type="cellIs" dxfId="397" priority="2" operator="equal">
      <formula>"OK"</formula>
    </cfRule>
  </conditionalFormatting>
  <conditionalFormatting sqref="L79">
    <cfRule type="cellIs" dxfId="396" priority="1" operator="equal">
      <formula>"NO"</formula>
    </cfRule>
  </conditionalFormatting>
  <dataValidations disablePrompts="1" count="5">
    <dataValidation type="list" allowBlank="1" showInputMessage="1" showErrorMessage="1" sqref="I31:L31 C31:F31" xr:uid="{6857EB8B-7D83-4274-9652-DF351FF3A9B4}">
      <formula1>INDIRECT("TimberType[Classe]")</formula1>
    </dataValidation>
    <dataValidation type="list" allowBlank="1" showInputMessage="1" showErrorMessage="1" sqref="C37 F37" xr:uid="{D4BE2820-6902-4E17-81FC-8B216FFFEE8F}">
      <formula1>INDIRECT("CLT[Code]")</formula1>
    </dataValidation>
    <dataValidation type="list" allowBlank="1" showInputMessage="1" showErrorMessage="1" sqref="E52:F52 K52:L52" xr:uid="{2DAA17EA-5EAE-457A-8F18-BD0D74357763}">
      <formula1>"1,2,3,4,5,6,7,8,9,10"</formula1>
    </dataValidation>
    <dataValidation type="list" allowBlank="1" showInputMessage="1" showErrorMessage="1" sqref="I24" xr:uid="{B410258B-6B9F-4C8A-82FA-AAD4D1750A68}">
      <formula1>"1,2,3"</formula1>
    </dataValidation>
    <dataValidation type="list" allowBlank="1" showInputMessage="1" showErrorMessage="1" sqref="I14:L14" xr:uid="{E1869368-4E6E-47AE-A24D-F7F1B0BB3BB6}">
      <formula1>"UNI EN 1995:2015, NTC2018"</formula1>
    </dataValidation>
  </dataValidations>
  <pageMargins left="0" right="0" top="0" bottom="0" header="0" footer="0"/>
  <pageSetup paperSize="9" scale="97" fitToHeight="0" orientation="portrait" r:id="rId1"/>
  <headerFooter>
    <oddHeader>&amp;L&amp;G</oddHeader>
    <oddFooter>&amp;R&amp;P</oddFooter>
  </headerFooter>
  <rowBreaks count="2" manualBreakCount="2">
    <brk id="64" max="12" man="1"/>
    <brk id="83" max="13" man="1"/>
  </rowBreaks>
  <colBreaks count="1" manualBreakCount="1">
    <brk id="13" max="1048575" man="1"/>
  </colBreaks>
  <drawing r:id="rId2"/>
  <legacyDrawingHF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634896D4-0AA6-40A2-9AB8-BEB83EA91D63}">
          <x14:formula1>
            <xm:f>RefText_DB!$B$9:$B$11</xm:f>
          </x14:formula1>
          <xm:sqref>I50:L50 C50:F50</xm:sqref>
        </x14:dataValidation>
        <x14:dataValidation type="list" allowBlank="1" showInputMessage="1" showErrorMessage="1" xr:uid="{A9139AAE-F63F-48C7-A541-4426B237E82C}">
          <x14:formula1>
            <xm:f>Dati!$A$78:$A$82</xm:f>
          </x14:formula1>
          <xm:sqref>I23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3Report">
    <pageSetUpPr fitToPage="1"/>
  </sheetPr>
  <dimension ref="A1:M1234"/>
  <sheetViews>
    <sheetView view="pageBreakPreview" zoomScaleNormal="108" zoomScaleSheetLayoutView="100" workbookViewId="0">
      <pane ySplit="1" topLeftCell="A2" activePane="bottomLeft" state="frozen"/>
      <selection activeCell="H189" sqref="H189:L197"/>
      <selection pane="bottomLeft" activeCell="I6" sqref="I6"/>
    </sheetView>
  </sheetViews>
  <sheetFormatPr defaultColWidth="9.140625" defaultRowHeight="14.25" zeroHeight="1" x14ac:dyDescent="0.25"/>
  <cols>
    <col min="1" max="1" width="1.42578125" style="229" customWidth="1"/>
    <col min="2" max="2" width="17.140625" style="229" customWidth="1"/>
    <col min="3" max="5" width="8.5703125" style="229" customWidth="1"/>
    <col min="6" max="6" width="7.140625" style="229" customWidth="1"/>
    <col min="7" max="7" width="5.7109375" style="229" customWidth="1"/>
    <col min="8" max="8" width="17.140625" style="229" customWidth="1"/>
    <col min="9" max="11" width="8.5703125" style="229" customWidth="1"/>
    <col min="12" max="12" width="7.140625" style="229" customWidth="1"/>
    <col min="13" max="13" width="1.28515625" style="229" customWidth="1"/>
    <col min="14" max="19" width="9.140625" style="229" customWidth="1"/>
    <col min="20" max="16384" width="9.140625" style="229"/>
  </cols>
  <sheetData>
    <row r="1" spans="1:13" ht="46.15" customHeight="1" thickTop="1" thickBot="1" x14ac:dyDescent="0.3">
      <c r="H1" s="222" t="str">
        <f>IF(AND(Output!F19="OK",Output!F20="OK",Output!L19="OK",Output!L20="OK",Output!F25="OK",Output!F34="OK",Output!F35="OK",Output!F38="OK",Output!F39="OK",Output!L34="OK",Output!L35="OK",Output!L38="OK",Output!L39="OK",Output!F44="OK",Output!F47="OK",Output!L55="OK",Output!L63="OK",Output!L75="OK",Output!L79="OK"),"OK","NO")</f>
        <v>OK</v>
      </c>
    </row>
    <row r="2" spans="1:13" ht="15" thickTop="1" x14ac:dyDescent="0.25">
      <c r="A2" s="233"/>
      <c r="B2" s="233"/>
      <c r="C2" s="233"/>
      <c r="D2" s="233"/>
      <c r="E2" s="233"/>
      <c r="F2" s="233"/>
      <c r="G2" s="233"/>
      <c r="H2" s="233"/>
      <c r="I2" s="233"/>
      <c r="J2" s="233"/>
      <c r="K2" s="233"/>
      <c r="L2" s="233"/>
      <c r="M2" s="233"/>
    </row>
    <row r="3" spans="1:13" ht="15.75" customHeight="1" x14ac:dyDescent="0.25"/>
    <row r="4" spans="1:13" ht="39" customHeight="1" x14ac:dyDescent="0.25"/>
    <row r="5" spans="1:13" ht="21" customHeight="1" x14ac:dyDescent="0.25"/>
    <row r="6" spans="1:13" ht="42" customHeight="1" x14ac:dyDescent="0.25"/>
    <row r="7" spans="1:13" ht="16.5" customHeight="1" x14ac:dyDescent="0.25">
      <c r="C7" s="364" t="str" cm="1">
        <f t="array" ref="C7">INDEX(LEN_REPORT[],1,MATCH(CONDITIONS!$E$3,Len_DB!$C$8:$H$8,0)+1)</f>
        <v>Technical calculation report</v>
      </c>
      <c r="D7" s="364"/>
      <c r="E7" s="364"/>
      <c r="F7" s="364"/>
      <c r="G7" s="364"/>
      <c r="H7" s="364"/>
    </row>
    <row r="8" spans="1:13" ht="12.75" customHeight="1" x14ac:dyDescent="0.25">
      <c r="C8" s="364"/>
      <c r="D8" s="364"/>
      <c r="E8" s="364"/>
      <c r="F8" s="364"/>
      <c r="G8" s="364"/>
      <c r="H8" s="364"/>
    </row>
    <row r="9" spans="1:13" ht="12.75" customHeight="1" x14ac:dyDescent="0.25">
      <c r="C9" s="364"/>
      <c r="D9" s="364"/>
      <c r="E9" s="364"/>
      <c r="F9" s="364"/>
      <c r="G9" s="364"/>
      <c r="H9" s="364"/>
    </row>
    <row r="10" spans="1:13" ht="12.75" customHeight="1" x14ac:dyDescent="0.25">
      <c r="C10" s="364"/>
      <c r="D10" s="364"/>
      <c r="E10" s="364"/>
      <c r="F10" s="364"/>
      <c r="G10" s="364"/>
      <c r="H10" s="364"/>
    </row>
    <row r="11" spans="1:13" ht="12.75" customHeight="1" x14ac:dyDescent="0.25">
      <c r="C11" s="364"/>
      <c r="D11" s="364"/>
      <c r="E11" s="364"/>
      <c r="F11" s="364"/>
      <c r="G11" s="364"/>
      <c r="H11" s="364"/>
      <c r="K11" s="367">
        <f ca="1">Input!$C$5</f>
        <v>46223</v>
      </c>
      <c r="L11" s="367"/>
    </row>
    <row r="12" spans="1:13" ht="12.75" customHeight="1" x14ac:dyDescent="0.25">
      <c r="C12" s="364"/>
      <c r="D12" s="364"/>
      <c r="E12" s="364"/>
      <c r="F12" s="364"/>
      <c r="G12" s="364"/>
      <c r="H12" s="364"/>
    </row>
    <row r="13" spans="1:13" ht="15" x14ac:dyDescent="0.25">
      <c r="C13" s="234" t="s">
        <v>940</v>
      </c>
      <c r="G13" s="235" t="s">
        <v>990</v>
      </c>
      <c r="J13" s="359" t="str">
        <f>IF(ISBLANK(Input!I5),"",Input!I5)</f>
        <v>UNI EN 1995:2014</v>
      </c>
      <c r="K13" s="359"/>
      <c r="L13" s="359"/>
    </row>
    <row r="14" spans="1:13" ht="6.6" customHeight="1" x14ac:dyDescent="0.25"/>
    <row r="15" spans="1:13" ht="36" customHeight="1" x14ac:dyDescent="0.25">
      <c r="D15" s="361" t="str">
        <f>IF(ISBLANK(Input!C8),"",Input!C8)</f>
        <v/>
      </c>
      <c r="E15" s="361"/>
      <c r="F15" s="361"/>
      <c r="G15" s="361"/>
      <c r="H15" s="361"/>
      <c r="I15" s="361"/>
      <c r="J15" s="361"/>
      <c r="K15" s="361"/>
      <c r="L15" s="361"/>
    </row>
    <row r="16" spans="1:13" ht="6" customHeight="1" x14ac:dyDescent="0.25"/>
    <row r="17" spans="4:12" ht="24" customHeight="1" x14ac:dyDescent="0.25">
      <c r="D17" s="360" t="str">
        <f>IF(ISBLANK(Input!I6),"",Input!I6)</f>
        <v/>
      </c>
      <c r="E17" s="360"/>
      <c r="F17" s="360"/>
      <c r="G17" s="360"/>
      <c r="H17" s="360"/>
      <c r="I17" s="360"/>
      <c r="J17" s="360"/>
      <c r="K17" s="360"/>
    </row>
    <row r="18" spans="4:12" x14ac:dyDescent="0.25"/>
    <row r="19" spans="4:12" ht="240" customHeight="1" x14ac:dyDescent="0.25">
      <c r="D19" s="366"/>
      <c r="E19" s="366"/>
      <c r="F19" s="366"/>
      <c r="G19" s="366"/>
      <c r="H19" s="366"/>
      <c r="I19" s="366"/>
    </row>
    <row r="20" spans="4:12" x14ac:dyDescent="0.25"/>
    <row r="21" spans="4:12" x14ac:dyDescent="0.25"/>
    <row r="22" spans="4:12" ht="12.75" customHeight="1" x14ac:dyDescent="0.25">
      <c r="D22" s="237" t="str" cm="1">
        <f t="array" ref="D22">INDEX(LEN_REPORT[],5,MATCH(CONDITIONS!$E$3,Len_DB!$C$8:$H$8,0)+1)</f>
        <v>Designer</v>
      </c>
      <c r="E22" s="237"/>
      <c r="F22" s="237"/>
      <c r="I22" s="237" t="str" cm="1">
        <f t="array" ref="I22">INDEX(LEN_REPORT[],8,MATCH(CONDITIONS!$E$3,Len_DB!$C$8:$H$8,0)+1)</f>
        <v>Province</v>
      </c>
      <c r="J22" s="237"/>
      <c r="K22" s="237"/>
    </row>
    <row r="23" spans="4:12" ht="4.1500000000000004" customHeight="1" x14ac:dyDescent="0.25">
      <c r="D23" s="237"/>
      <c r="E23" s="237"/>
      <c r="F23" s="237"/>
      <c r="G23" s="237"/>
    </row>
    <row r="24" spans="4:12" x14ac:dyDescent="0.25">
      <c r="D24" s="362" t="str">
        <f>IF(ISBLANK(Input!C9),"",Input!C9)</f>
        <v/>
      </c>
      <c r="E24" s="362"/>
      <c r="F24" s="362"/>
      <c r="G24" s="362"/>
      <c r="I24" s="362" t="str">
        <f>IF(ISBLANK(Input!C7),"",Input!C7)</f>
        <v/>
      </c>
      <c r="J24" s="362"/>
      <c r="K24" s="362"/>
      <c r="L24" s="362"/>
    </row>
    <row r="25" spans="4:12" ht="4.1500000000000004" customHeight="1" x14ac:dyDescent="0.25">
      <c r="D25" s="237"/>
      <c r="E25" s="237"/>
      <c r="F25" s="237"/>
      <c r="G25" s="237"/>
    </row>
    <row r="26" spans="4:12" ht="12.75" customHeight="1" x14ac:dyDescent="0.25">
      <c r="D26" s="237" t="str" cm="1">
        <f t="array" ref="D26">INDEX(LEN_REPORT[],6,MATCH(CONDITIONS!$E$3,Len_DB!$C$8:$H$8,0)+1)</f>
        <v>Client</v>
      </c>
      <c r="E26" s="237"/>
      <c r="F26" s="237"/>
      <c r="I26" s="237" t="str" cm="1">
        <f t="array" ref="I26">INDEX(LEN_REPORT[],7,MATCH(CONDITIONS!$E$3,Len_DB!$C$8:$H$8,0)+1)</f>
        <v>Municipality</v>
      </c>
    </row>
    <row r="27" spans="4:12" ht="4.1500000000000004" customHeight="1" x14ac:dyDescent="0.25"/>
    <row r="28" spans="4:12" x14ac:dyDescent="0.25">
      <c r="D28" s="362" t="str">
        <f>IF(ISBLANK(Input!C10),"",Input!C10)</f>
        <v/>
      </c>
      <c r="E28" s="362"/>
      <c r="F28" s="362"/>
      <c r="G28" s="362"/>
      <c r="I28" s="362" t="str">
        <f>IF(ISBLANK(Input!C6),"",Input!C6)</f>
        <v/>
      </c>
      <c r="J28" s="362"/>
      <c r="K28" s="362"/>
      <c r="L28" s="362"/>
    </row>
    <row r="29" spans="4:12" ht="12.75" customHeight="1" x14ac:dyDescent="0.25"/>
    <row r="30" spans="4:12" ht="12.75" customHeight="1" x14ac:dyDescent="0.25"/>
    <row r="31" spans="4:12" ht="12.75" customHeight="1" x14ac:dyDescent="0.25"/>
    <row r="32" spans="4:12" ht="12.75" customHeight="1" x14ac:dyDescent="0.25"/>
    <row r="33" spans="1:13" ht="206.25" customHeight="1" x14ac:dyDescent="0.25">
      <c r="A33" s="233"/>
      <c r="B33" s="233"/>
      <c r="C33" s="233"/>
      <c r="D33" s="238"/>
      <c r="E33" s="233"/>
      <c r="F33" s="233"/>
      <c r="G33" s="233"/>
      <c r="H33" s="233"/>
      <c r="I33" s="233"/>
      <c r="J33" s="233"/>
      <c r="K33" s="233"/>
      <c r="L33" s="233"/>
      <c r="M33" s="233"/>
    </row>
    <row r="34" spans="1:13" ht="12.75" customHeight="1" x14ac:dyDescent="0.2">
      <c r="B34" s="230"/>
      <c r="C34" s="230"/>
      <c r="D34" s="230"/>
      <c r="E34" s="230"/>
      <c r="F34" s="230"/>
      <c r="G34" s="230"/>
      <c r="H34" s="230"/>
      <c r="I34" s="230"/>
      <c r="J34" s="230"/>
      <c r="K34" s="230"/>
      <c r="L34" s="230"/>
    </row>
    <row r="35" spans="1:13" ht="15" x14ac:dyDescent="0.25">
      <c r="B35" s="319" t="str" cm="1">
        <f t="array" ref="B35">INDEX(LEN_REPORT[],9,MATCH(CONDITIONS!$E$3,Len_DB!$C$8:$H$8,0)+1)</f>
        <v>Geometry</v>
      </c>
      <c r="C35" s="319"/>
      <c r="D35" s="319"/>
      <c r="E35" s="319"/>
      <c r="F35" s="319"/>
      <c r="G35" s="319"/>
      <c r="H35" s="319"/>
      <c r="I35" s="319"/>
      <c r="J35" s="319"/>
      <c r="K35" s="319"/>
      <c r="L35" s="319"/>
    </row>
    <row r="36" spans="1:13" s="239" customFormat="1" ht="3" customHeight="1" x14ac:dyDescent="0.25"/>
    <row r="37" spans="1:13" ht="134.44999999999999" customHeight="1" x14ac:dyDescent="0.25">
      <c r="B37"/>
      <c r="C37" s="366"/>
      <c r="D37" s="366"/>
      <c r="E37" s="366"/>
      <c r="F37" s="366"/>
      <c r="G37" s="366"/>
      <c r="H37" s="366"/>
      <c r="I37" s="366"/>
      <c r="J37" s="366"/>
      <c r="K37" s="230"/>
      <c r="L37" s="230"/>
    </row>
    <row r="38" spans="1:13" s="239" customFormat="1" ht="3" customHeight="1" x14ac:dyDescent="0.25"/>
    <row r="39" spans="1:13" ht="15" customHeight="1" x14ac:dyDescent="0.25">
      <c r="B39" s="320" t="str" cm="1">
        <f t="array" ref="B39">INDEX(LEN_REPORT[],10,MATCH(CONDITIONS!$E$3,Len_DB!$C$8:$H$8,0)+1)</f>
        <v>At support</v>
      </c>
      <c r="C39" s="320"/>
      <c r="D39" s="320"/>
      <c r="E39" s="320"/>
      <c r="F39" s="320"/>
      <c r="G39" s="239"/>
      <c r="H39" s="320" t="str" cm="1">
        <f t="array" ref="H39">INDEX(LEN_REPORT[],11,MATCH(CONDITIONS!$E$3,Len_DB!$C$8:$H$8,0)+1)</f>
        <v>At mid span</v>
      </c>
      <c r="I39" s="320"/>
      <c r="J39" s="320"/>
      <c r="K39" s="320"/>
      <c r="L39" s="320"/>
    </row>
    <row r="40" spans="1:13" ht="6" customHeight="1" x14ac:dyDescent="0.25"/>
    <row r="41" spans="1:13" x14ac:dyDescent="0.25">
      <c r="B41" s="232" t="str" cm="1">
        <f t="array" ref="B41">INDEX(LEN_REPORT[],12,MATCH(CONDITIONS!$E$3,Len_DB!$C$8:$H$8,0)+1)</f>
        <v>Panel type</v>
      </c>
      <c r="C41" s="363" t="str">
        <f>Input!C28</f>
        <v xml:space="preserve">80mm-3-   30 20 30   </v>
      </c>
      <c r="D41" s="363"/>
      <c r="E41" s="363"/>
      <c r="F41" s="363"/>
      <c r="H41" s="232" t="str" cm="1">
        <f t="array" ref="H41">INDEX(LEN_REPORT[],12,MATCH(CONDITIONS!$E$3,Len_DB!$C$8:$H$8,0)+1)</f>
        <v>Panel type</v>
      </c>
      <c r="I41" s="363" t="str">
        <f>Input!C28</f>
        <v xml:space="preserve">80mm-3-   30 20 30   </v>
      </c>
      <c r="J41" s="363"/>
      <c r="K41" s="363"/>
      <c r="L41" s="363"/>
    </row>
    <row r="42" spans="1:13" ht="6" customHeight="1" x14ac:dyDescent="0.25"/>
    <row r="43" spans="1:13" ht="12.75" customHeight="1" x14ac:dyDescent="0.25">
      <c r="B43" s="232" t="str" cm="1">
        <f t="array" ref="B43">INDEX(LEN_REPORT[],15,MATCH(CONDITIONS!$E$3,Len_DB!$C$8:$H$8,0)+1)</f>
        <v>Number of layers</v>
      </c>
      <c r="C43" s="247"/>
      <c r="D43" s="247"/>
      <c r="E43" s="251">
        <f>SUM(INDEX(CLT[],MATCH($C$41,CLT[Code],0),4))</f>
        <v>3</v>
      </c>
      <c r="G43" s="232"/>
      <c r="H43" s="232" t="str" cm="1">
        <f t="array" ref="H43">INDEX(LEN_REPORT[],15,MATCH(CONDITIONS!$E$3,Len_DB!$C$8:$H$8,0)+1)</f>
        <v>Number of layers</v>
      </c>
      <c r="I43" s="247"/>
      <c r="J43" s="247"/>
      <c r="K43" s="251">
        <f>SUM(INDEX(CLT[],MATCH($C$41,CLT[Code],0),4))</f>
        <v>3</v>
      </c>
    </row>
    <row r="44" spans="1:13" ht="6" customHeight="1" x14ac:dyDescent="0.25">
      <c r="B44" s="232"/>
      <c r="C44" s="232"/>
      <c r="D44" s="232"/>
      <c r="G44" s="232"/>
      <c r="H44" s="232"/>
      <c r="I44" s="232"/>
      <c r="J44" s="232"/>
    </row>
    <row r="45" spans="1:13" ht="12.75" customHeight="1" x14ac:dyDescent="0.25">
      <c r="B45" s="232" t="str" cm="1">
        <f t="array" ref="B45">INDEX(LEN_REPORT[],16,MATCH(CONDITIONS!$E$3,Len_DB!$C$8:$H$8,0)+1)</f>
        <v>Effective inertia</v>
      </c>
      <c r="C45" s="315" t="s">
        <v>1064</v>
      </c>
      <c r="D45" s="315"/>
      <c r="E45" s="250">
        <f>MAX(J_MidSpan[#Totals])</f>
        <v>25702879.429814834</v>
      </c>
      <c r="F45" s="248" t="s">
        <v>1012</v>
      </c>
      <c r="G45" s="232"/>
      <c r="H45" s="232" t="str" cm="1">
        <f t="array" ref="H45">INDEX(LEN_REPORT[],16,MATCH(CONDITIONS!$E$3,Len_DB!$C$8:$H$8,0)+1)</f>
        <v>Effective inertia</v>
      </c>
      <c r="I45" s="315" t="s">
        <v>1066</v>
      </c>
      <c r="J45" s="315"/>
      <c r="K45" s="250">
        <f>MAX(J_Support[#Totals])</f>
        <v>8820000</v>
      </c>
      <c r="L45" s="248" t="s">
        <v>1012</v>
      </c>
    </row>
    <row r="46" spans="1:13" ht="12.75" customHeight="1" x14ac:dyDescent="0.25">
      <c r="B46" s="232" t="str" cm="1">
        <f t="array" ref="B46">INDEX(LEN_REPORT[],17,MATCH(CONDITIONS!$E$3,Len_DB!$C$8:$H$8,0)+1)</f>
        <v>Effective area</v>
      </c>
      <c r="C46" s="315" t="s">
        <v>1065</v>
      </c>
      <c r="D46" s="315"/>
      <c r="E46" s="249">
        <f>MAX(A_MidSpan[#Totals])</f>
        <v>36718.399185449758</v>
      </c>
      <c r="F46" s="248" t="s">
        <v>1014</v>
      </c>
      <c r="G46" s="232"/>
      <c r="H46" s="232" t="str" cm="1">
        <f t="array" ref="H46">INDEX(LEN_REPORT[],17,MATCH(CONDITIONS!$E$3,Len_DB!$C$8:$H$8,0)+1)</f>
        <v>Effective area</v>
      </c>
      <c r="I46" s="315" t="s">
        <v>1067</v>
      </c>
      <c r="J46" s="315"/>
      <c r="K46" s="251">
        <f>MAX(A_Support[#Totals])</f>
        <v>12600</v>
      </c>
      <c r="L46" s="248" t="s">
        <v>1014</v>
      </c>
    </row>
    <row r="47" spans="1:13" ht="9.6" customHeight="1" x14ac:dyDescent="0.25">
      <c r="B47" s="232"/>
      <c r="C47" s="232"/>
      <c r="D47" s="232"/>
      <c r="E47" s="232"/>
      <c r="F47" s="232"/>
      <c r="G47" s="232"/>
      <c r="H47" s="232"/>
      <c r="I47" s="232"/>
      <c r="J47" s="232"/>
      <c r="K47" s="232"/>
    </row>
    <row r="48" spans="1:13" ht="15" x14ac:dyDescent="0.25">
      <c r="B48" s="319" t="str" cm="1">
        <f t="array" ref="B48">INDEX(LEN_REPORT[],18,MATCH(CONDITIONS!$E$3,Len_DB!$C$8:$H$8,0)+1)</f>
        <v>Design loads on slab surface</v>
      </c>
      <c r="C48" s="319"/>
      <c r="D48" s="319"/>
      <c r="E48" s="319"/>
      <c r="F48" s="319"/>
      <c r="G48" s="319"/>
      <c r="H48" s="319"/>
      <c r="I48" s="319"/>
      <c r="J48" s="319"/>
      <c r="K48" s="319"/>
      <c r="L48" s="319"/>
    </row>
    <row r="49" spans="2:12" ht="6" customHeight="1" x14ac:dyDescent="0.25">
      <c r="B49" s="232"/>
      <c r="C49" s="232"/>
      <c r="D49" s="232"/>
      <c r="E49" s="232"/>
      <c r="F49" s="232"/>
      <c r="G49" s="232"/>
      <c r="H49" s="232"/>
      <c r="I49" s="232"/>
      <c r="J49" s="232"/>
      <c r="K49" s="232"/>
      <c r="L49" s="232"/>
    </row>
    <row r="50" spans="2:12" ht="12.75" customHeight="1" x14ac:dyDescent="0.25">
      <c r="B50" s="232" t="str" cm="1">
        <f t="array" ref="B50">INDEX(LEN_REPORT[],19,MATCH(CONDITIONS!$E$3,Len_DB!$C$8:$H$8,0)+1)</f>
        <v>Permanent loads</v>
      </c>
      <c r="C50" s="315" t="s">
        <v>1001</v>
      </c>
      <c r="D50" s="315"/>
      <c r="E50" s="231">
        <f>Input!$E$14</f>
        <v>2.5</v>
      </c>
      <c r="F50" s="248" t="s">
        <v>994</v>
      </c>
      <c r="G50" s="232"/>
      <c r="H50" s="232" t="str" cm="1">
        <f t="array" ref="H50">INDEX(LEN_REPORT[],22,MATCH(CONDITIONS!$E$3,Len_DB!$C$8:$H$8,0)+1)</f>
        <v>Load duration</v>
      </c>
      <c r="I50" s="363" t="str">
        <f>Input!$I$14</f>
        <v>Medium term</v>
      </c>
      <c r="J50" s="363"/>
      <c r="K50" s="363"/>
      <c r="L50" s="363"/>
    </row>
    <row r="51" spans="2:12" ht="12.75" customHeight="1" x14ac:dyDescent="0.25">
      <c r="B51" s="232" t="str" cm="1">
        <f t="array" ref="B51">INDEX(LEN_REPORT[],20,MATCH(CONDITIONS!$E$3,Len_DB!$C$8:$H$8,0)+1)</f>
        <v>Accidental loads</v>
      </c>
      <c r="C51" s="315" t="s">
        <v>1002</v>
      </c>
      <c r="D51" s="315"/>
      <c r="E51" s="231">
        <f>Input!$E$15</f>
        <v>2</v>
      </c>
      <c r="F51" s="248" t="s">
        <v>994</v>
      </c>
      <c r="G51" s="232"/>
    </row>
    <row r="52" spans="2:12" ht="12.75" customHeight="1" x14ac:dyDescent="0.25">
      <c r="B52" s="232" t="str" cm="1">
        <f t="array" ref="B52">INDEX(LEN_REPORT[],21,MATCH(CONDITIONS!$E$3,Len_DB!$C$8:$H$8,0)+1)</f>
        <v>Partial factor</v>
      </c>
      <c r="C52" s="315" t="s">
        <v>1003</v>
      </c>
      <c r="D52" s="315"/>
      <c r="E52" s="232">
        <f>Input!$E$16</f>
        <v>0.3</v>
      </c>
      <c r="F52" s="248" t="s">
        <v>994</v>
      </c>
      <c r="G52" s="232"/>
      <c r="H52" s="232" t="str" cm="1">
        <f t="array" ref="H52">INDEX(LEN_REPORT[],23,MATCH(CONDITIONS!$E$3,Len_DB!$C$8:$H$8,0)+1)</f>
        <v>Service class</v>
      </c>
      <c r="I52" s="363">
        <f>Input!$I$15</f>
        <v>1</v>
      </c>
      <c r="J52" s="363"/>
      <c r="K52" s="363"/>
      <c r="L52" s="363"/>
    </row>
    <row r="53" spans="2:12" ht="9.6" customHeight="1" x14ac:dyDescent="0.25">
      <c r="B53" s="232"/>
      <c r="C53" s="232"/>
      <c r="D53" s="232"/>
      <c r="E53" s="232"/>
      <c r="F53" s="232"/>
      <c r="G53" s="232"/>
      <c r="H53" s="232"/>
      <c r="I53" s="232"/>
      <c r="J53" s="232"/>
      <c r="K53" s="232"/>
    </row>
    <row r="54" spans="2:12" ht="150" customHeight="1" x14ac:dyDescent="0.25">
      <c r="B54" s="366"/>
      <c r="C54" s="366"/>
      <c r="D54" s="366"/>
      <c r="E54" s="366"/>
      <c r="F54" s="366"/>
      <c r="G54" s="366"/>
      <c r="H54" s="366"/>
      <c r="I54" s="366"/>
      <c r="J54" s="366"/>
      <c r="K54" s="366"/>
      <c r="L54" s="366"/>
    </row>
    <row r="55" spans="2:12" ht="9" customHeight="1" x14ac:dyDescent="0.25">
      <c r="B55" s="232"/>
      <c r="C55" s="232"/>
      <c r="D55" s="232"/>
      <c r="E55" s="232"/>
      <c r="F55" s="232"/>
      <c r="G55" s="232"/>
      <c r="H55" s="232"/>
      <c r="I55" s="232"/>
      <c r="J55" s="232"/>
      <c r="K55" s="232"/>
      <c r="L55" s="232"/>
    </row>
    <row r="56" spans="2:12" ht="15" x14ac:dyDescent="0.25">
      <c r="B56" s="319" t="str" cm="1">
        <f t="array" ref="B56">INDEX(LEN_REPORT[],24,MATCH(CONDITIONS!$E$3,Len_DB!$C$8:$H$8,0)+1)</f>
        <v>Design loads on the beam</v>
      </c>
      <c r="C56" s="319"/>
      <c r="D56" s="319"/>
      <c r="E56" s="319"/>
      <c r="F56" s="319"/>
      <c r="G56" s="319"/>
      <c r="H56" s="319"/>
      <c r="I56" s="319"/>
      <c r="J56" s="319"/>
      <c r="K56" s="319"/>
      <c r="L56" s="319"/>
    </row>
    <row r="57" spans="2:12" ht="6" customHeight="1" x14ac:dyDescent="0.25">
      <c r="B57" s="232"/>
      <c r="C57" s="232"/>
      <c r="D57" s="232"/>
      <c r="E57" s="232"/>
      <c r="F57" s="232"/>
      <c r="G57" s="232"/>
      <c r="H57" s="232"/>
      <c r="I57" s="232"/>
      <c r="J57" s="232"/>
      <c r="K57" s="232"/>
      <c r="L57" s="232"/>
    </row>
    <row r="58" spans="2:12" ht="12.75" customHeight="1" x14ac:dyDescent="0.25">
      <c r="B58" s="232" t="str" cm="1">
        <f t="array" ref="B58">INDEX(LEN_REPORT[],26,MATCH(CONDITIONS!$E$3,Len_DB!$C$8:$H$8,0)+1)</f>
        <v>Influence span</v>
      </c>
      <c r="C58" s="315" t="s">
        <v>16</v>
      </c>
      <c r="D58" s="315"/>
      <c r="E58" s="231">
        <f>Input!$E$30/1000</f>
        <v>0.8</v>
      </c>
      <c r="F58" s="248" t="s">
        <v>17</v>
      </c>
      <c r="G58" s="232"/>
      <c r="L58" s="232"/>
    </row>
    <row r="59" spans="2:12" ht="12.75" customHeight="1" x14ac:dyDescent="0.25">
      <c r="B59" s="232" t="str" cm="1">
        <f t="array" ref="B59">INDEX(LEN_REPORT[],19,MATCH(CONDITIONS!$E$3,Len_DB!$C$8:$H$8,0)+1)</f>
        <v>Permanent loads</v>
      </c>
      <c r="C59" s="315" t="s">
        <v>1056</v>
      </c>
      <c r="D59" s="315"/>
      <c r="E59" s="231">
        <f>E50*E58</f>
        <v>2</v>
      </c>
      <c r="F59" s="248" t="s">
        <v>994</v>
      </c>
      <c r="G59" s="232"/>
      <c r="H59" s="232"/>
      <c r="I59" s="232"/>
      <c r="J59" s="232"/>
      <c r="K59" s="232"/>
      <c r="L59" s="232"/>
    </row>
    <row r="60" spans="2:12" ht="12.75" customHeight="1" x14ac:dyDescent="0.25">
      <c r="B60" s="232" t="str" cm="1">
        <f t="array" ref="B60">INDEX(LEN_REPORT[],20,MATCH(CONDITIONS!$E$3,Len_DB!$C$8:$H$8,0)+1)</f>
        <v>Accidental loads</v>
      </c>
      <c r="C60" s="315" t="s">
        <v>1002</v>
      </c>
      <c r="D60" s="315"/>
      <c r="E60" s="231">
        <f>E51*E58</f>
        <v>1.6</v>
      </c>
      <c r="F60" s="248" t="s">
        <v>994</v>
      </c>
      <c r="G60" s="232"/>
      <c r="H60" s="232"/>
      <c r="I60" s="232"/>
      <c r="J60" s="232"/>
      <c r="K60" s="232"/>
      <c r="L60" s="232"/>
    </row>
    <row r="61" spans="2:12" ht="9" customHeight="1" x14ac:dyDescent="0.25"/>
    <row r="62" spans="2:12" ht="150" customHeight="1" x14ac:dyDescent="0.25">
      <c r="B62" s="366"/>
      <c r="C62" s="366"/>
      <c r="D62" s="366"/>
      <c r="E62" s="366"/>
      <c r="F62" s="366"/>
      <c r="G62" s="366"/>
      <c r="H62" s="366"/>
      <c r="I62" s="366"/>
      <c r="J62" s="366"/>
      <c r="K62" s="366"/>
      <c r="L62" s="366"/>
    </row>
    <row r="63" spans="2:12" x14ac:dyDescent="0.25"/>
    <row r="64" spans="2:12" x14ac:dyDescent="0.25"/>
    <row r="65" spans="2:12" ht="15" x14ac:dyDescent="0.25">
      <c r="B65" s="319" t="str" cm="1">
        <f t="array" ref="B65">INDEX(LEN_REPORT[],27,MATCH(CONDITIONS!$E$3,Len_DB!$C$8:$H$8,0)+1)</f>
        <v>(1) Slab</v>
      </c>
      <c r="C65" s="319"/>
      <c r="D65" s="319"/>
      <c r="E65" s="319"/>
      <c r="F65" s="319"/>
      <c r="G65" s="319"/>
      <c r="H65" s="319"/>
      <c r="I65" s="319"/>
      <c r="J65" s="319"/>
      <c r="K65" s="319"/>
      <c r="L65" s="319"/>
    </row>
    <row r="66" spans="2:12" ht="6" customHeight="1" x14ac:dyDescent="0.25"/>
    <row r="67" spans="2:12" ht="16.5" x14ac:dyDescent="0.25">
      <c r="B67" s="259" t="str" cm="1">
        <f t="array" ref="B67">INDEX(LEN_REPORT[],28,MATCH(CONDITIONS!$E$3,Len_DB!$C$8:$H$8,0)+1)</f>
        <v>Wood type</v>
      </c>
      <c r="C67" s="365" t="str">
        <f>Input!$C$22</f>
        <v>C24 - EN338:2016</v>
      </c>
      <c r="D67" s="365"/>
      <c r="E67" s="365"/>
      <c r="H67" s="262" t="s">
        <v>1039</v>
      </c>
      <c r="I67" s="265">
        <f>INDEX(kmod[],MATCH($I$52,kmod[CS],0),MATCH($I$50,kmod[#Headers],0))</f>
        <v>0.8</v>
      </c>
      <c r="J67" s="265"/>
      <c r="K67" s="265"/>
    </row>
    <row r="68" spans="2:12" ht="16.5" x14ac:dyDescent="0.25">
      <c r="B68" s="259"/>
      <c r="C68" s="263"/>
      <c r="D68" s="263"/>
      <c r="E68" s="263"/>
      <c r="H68" s="262" t="s">
        <v>1040</v>
      </c>
      <c r="I68" s="265">
        <f>INDEX(kmod[],MATCH($I$52,kmod[CS],0),2)</f>
        <v>0.6</v>
      </c>
      <c r="J68" s="265"/>
      <c r="K68" s="265"/>
    </row>
    <row r="69" spans="2:12" ht="16.5" x14ac:dyDescent="0.25">
      <c r="B69" s="259"/>
      <c r="C69" s="263"/>
      <c r="D69" s="263"/>
      <c r="E69" s="263"/>
      <c r="H69" s="262" t="s">
        <v>1038</v>
      </c>
      <c r="I69" s="265">
        <v>0.67</v>
      </c>
      <c r="J69" s="265"/>
      <c r="K69" s="265"/>
    </row>
    <row r="70" spans="2:12" ht="9" customHeight="1" x14ac:dyDescent="0.25"/>
    <row r="71" spans="2:12" ht="15.75" customHeight="1" thickBot="1" x14ac:dyDescent="0.3">
      <c r="B71" s="354" t="str" cm="1">
        <f t="array" ref="B71">INDEX(LEN_REPORT[],29,MATCH(CONDITIONS!$E$3,Len_DB!$C$8:$H$8,0)+1)</f>
        <v>Characteristics</v>
      </c>
      <c r="C71" s="354"/>
      <c r="D71" s="354"/>
      <c r="I71" s="277" t="s">
        <v>1033</v>
      </c>
      <c r="J71" s="277" t="s">
        <v>1025</v>
      </c>
      <c r="K71" s="278"/>
    </row>
    <row r="72" spans="2:12" ht="19.5" thickTop="1" x14ac:dyDescent="0.25">
      <c r="B72" s="271" t="s">
        <v>30</v>
      </c>
      <c r="C72" s="272">
        <f>INDEX(TimberType[],MATCH(Input!$C$22,TimberType[Classe],0),MATCH(B72,TimberType[#Headers],0))</f>
        <v>24</v>
      </c>
      <c r="D72" s="273" t="s">
        <v>141</v>
      </c>
      <c r="H72" s="271" t="s">
        <v>35</v>
      </c>
      <c r="I72" s="272">
        <f>C72*(I67)/$K$151</f>
        <v>15.360000000000003</v>
      </c>
      <c r="J72" s="272">
        <f>C72*I68/$K$151</f>
        <v>11.52</v>
      </c>
      <c r="K72" s="272" t="s">
        <v>141</v>
      </c>
    </row>
    <row r="73" spans="2:12" ht="18.75" x14ac:dyDescent="0.25">
      <c r="B73" s="266" t="s">
        <v>34</v>
      </c>
      <c r="C73" s="267">
        <f>INDEX(TimberType[],MATCH(Input!$C$22,TimberType[Classe],0),MATCH(B73,TimberType[#Headers],0))</f>
        <v>14.5</v>
      </c>
      <c r="D73" s="268" t="s">
        <v>141</v>
      </c>
      <c r="H73" s="266" t="s">
        <v>1036</v>
      </c>
      <c r="I73" s="267">
        <f>C73*I67/$K$151</f>
        <v>9.2800000000000011</v>
      </c>
      <c r="J73" s="267">
        <f>C73*I68/$K$151</f>
        <v>6.9599999999999991</v>
      </c>
      <c r="K73" s="267" t="s">
        <v>141</v>
      </c>
    </row>
    <row r="74" spans="2:12" ht="18.75" x14ac:dyDescent="0.25">
      <c r="B74" s="266" t="s">
        <v>37</v>
      </c>
      <c r="C74" s="267">
        <f>INDEX(TimberType[],MATCH(Input!$C$22,TimberType[Classe],0),MATCH(B74,TimberType[#Headers],0))</f>
        <v>0.4</v>
      </c>
      <c r="D74" s="268" t="s">
        <v>141</v>
      </c>
      <c r="H74" s="266" t="s">
        <v>41</v>
      </c>
      <c r="I74" s="267">
        <f>C74*I67/$K$151</f>
        <v>0.25600000000000006</v>
      </c>
      <c r="J74" s="267">
        <f>C74*I68/$K$151</f>
        <v>0.192</v>
      </c>
      <c r="K74" s="267" t="s">
        <v>141</v>
      </c>
    </row>
    <row r="75" spans="2:12" ht="18.75" x14ac:dyDescent="0.25">
      <c r="B75" s="266" t="s">
        <v>40</v>
      </c>
      <c r="C75" s="267">
        <f>INDEX(TimberType[],MATCH(Input!$C$22,TimberType[Classe],0),MATCH(B75,TimberType[#Headers],0))</f>
        <v>21</v>
      </c>
      <c r="D75" s="268" t="s">
        <v>141</v>
      </c>
      <c r="H75" s="266" t="s">
        <v>44</v>
      </c>
      <c r="I75" s="267">
        <f>C75*I67/$K$151</f>
        <v>13.440000000000001</v>
      </c>
      <c r="J75" s="267">
        <f>C75*I68/$K$151</f>
        <v>10.08</v>
      </c>
      <c r="K75" s="267" t="s">
        <v>141</v>
      </c>
    </row>
    <row r="76" spans="2:12" ht="18.75" x14ac:dyDescent="0.25">
      <c r="B76" s="266" t="s">
        <v>43</v>
      </c>
      <c r="C76" s="267">
        <f>INDEX(TimberType[],MATCH(Input!$C$22,TimberType[Classe],0),MATCH(B76,TimberType[#Headers],0))</f>
        <v>2.5</v>
      </c>
      <c r="D76" s="268" t="s">
        <v>141</v>
      </c>
      <c r="H76" s="266" t="s">
        <v>47</v>
      </c>
      <c r="I76" s="267">
        <f>C76*I67/$K$151</f>
        <v>1.6</v>
      </c>
      <c r="J76" s="267">
        <f>C76*I68/$K$151</f>
        <v>1.2</v>
      </c>
      <c r="K76" s="267" t="s">
        <v>141</v>
      </c>
    </row>
    <row r="77" spans="2:12" ht="18.75" x14ac:dyDescent="0.25">
      <c r="B77" s="266" t="s">
        <v>46</v>
      </c>
      <c r="C77" s="267">
        <f>INDEX(TimberType[],MATCH(Input!$C$22,TimberType[Classe],0),MATCH(B77,TimberType[#Headers],0))</f>
        <v>4</v>
      </c>
      <c r="D77" s="268" t="s">
        <v>141</v>
      </c>
      <c r="H77" s="266" t="s">
        <v>48</v>
      </c>
      <c r="I77" s="267">
        <f>C77*I67/$K$151*I69</f>
        <v>1.7152000000000001</v>
      </c>
      <c r="J77" s="267">
        <f>C77*I68/$K$151*I69</f>
        <v>1.2864</v>
      </c>
      <c r="K77" s="267" t="s">
        <v>141</v>
      </c>
    </row>
    <row r="78" spans="2:12" ht="17.25" thickBot="1" x14ac:dyDescent="0.3">
      <c r="B78" s="266" t="s">
        <v>1034</v>
      </c>
      <c r="C78" s="267">
        <f>Input!$E$31</f>
        <v>1.2</v>
      </c>
      <c r="D78" s="268" t="s">
        <v>141</v>
      </c>
      <c r="H78" s="275" t="s">
        <v>1037</v>
      </c>
      <c r="I78" s="276">
        <f>C78*I67/$K$152</f>
        <v>0.76800000000000002</v>
      </c>
      <c r="J78" s="276">
        <f>C78*I68/$K$152</f>
        <v>0.57599999999999996</v>
      </c>
      <c r="K78" s="276" t="s">
        <v>141</v>
      </c>
    </row>
    <row r="79" spans="2:12" ht="9" customHeight="1" thickTop="1" x14ac:dyDescent="0.25">
      <c r="B79" s="261"/>
      <c r="C79" s="236"/>
      <c r="D79" s="236"/>
    </row>
    <row r="80" spans="2:12" ht="18.75" x14ac:dyDescent="0.25">
      <c r="B80" s="266" t="s">
        <v>50</v>
      </c>
      <c r="C80" s="260">
        <f>INDEX(TimberType[],MATCH(Input!$C$22,TimberType[Classe],0),MATCH(B80,TimberType[#Headers],0))</f>
        <v>11000</v>
      </c>
      <c r="D80" s="268" t="s">
        <v>141</v>
      </c>
    </row>
    <row r="81" spans="2:12" ht="18.75" x14ac:dyDescent="0.25">
      <c r="B81" s="266" t="s">
        <v>52</v>
      </c>
      <c r="C81" s="260">
        <f>INDEX(TimberType[],MATCH(Input!$C$22,TimberType[Classe],0),MATCH(B81,TimberType[#Headers],0))</f>
        <v>7400</v>
      </c>
      <c r="D81" s="268" t="s">
        <v>141</v>
      </c>
    </row>
    <row r="82" spans="2:12" ht="18.75" x14ac:dyDescent="0.25">
      <c r="B82" s="266" t="s">
        <v>743</v>
      </c>
      <c r="C82" s="260">
        <f>INDEX(TimberType[],MATCH(Input!$C$22,TimberType[Classe],0),MATCH(B82,TimberType[#Headers],0))</f>
        <v>690</v>
      </c>
      <c r="D82" s="268" t="s">
        <v>141</v>
      </c>
    </row>
    <row r="83" spans="2:12" ht="18.75" x14ac:dyDescent="0.25">
      <c r="B83" s="266" t="s">
        <v>753</v>
      </c>
      <c r="C83" s="260">
        <f>INDEX(TimberType[],MATCH(Input!$C$22,TimberType[Classe],0),MATCH(B83,TimberType[#Headers],0))</f>
        <v>0</v>
      </c>
      <c r="D83" s="268" t="s">
        <v>141</v>
      </c>
    </row>
    <row r="84" spans="2:12" ht="9" customHeight="1" x14ac:dyDescent="0.25">
      <c r="B84" s="261"/>
      <c r="C84" s="236"/>
    </row>
    <row r="85" spans="2:12" ht="19.5" thickBot="1" x14ac:dyDescent="0.3">
      <c r="B85" s="269" t="s">
        <v>1035</v>
      </c>
      <c r="C85" s="274">
        <f>INDEX(TimberType[],MATCH(Input!$C$22,TimberType[Classe],0),MATCH(B85,TimberType[#Headers],0))</f>
        <v>350</v>
      </c>
      <c r="D85" s="270" t="s">
        <v>1032</v>
      </c>
    </row>
    <row r="86" spans="2:12" ht="9" customHeight="1" thickTop="1" x14ac:dyDescent="0.25"/>
    <row r="87" spans="2:12" ht="15" x14ac:dyDescent="0.25">
      <c r="B87" s="319" t="str" cm="1">
        <f t="array" ref="B87">INDEX(LEN_REPORT[],30,MATCH(CONDITIONS!$E$3,Len_DB!$C$8:$H$8,0)+1)</f>
        <v>(2) Rib beam</v>
      </c>
      <c r="C87" s="319"/>
      <c r="D87" s="319"/>
      <c r="E87" s="319"/>
      <c r="F87" s="319"/>
      <c r="G87" s="319"/>
      <c r="H87" s="319"/>
      <c r="I87" s="319"/>
      <c r="J87" s="319"/>
      <c r="K87" s="319"/>
      <c r="L87" s="319"/>
    </row>
    <row r="88" spans="2:12" x14ac:dyDescent="0.25"/>
    <row r="89" spans="2:12" ht="30" customHeight="1" x14ac:dyDescent="0.25">
      <c r="B89" s="259" t="str" cm="1">
        <f t="array" ref="B89">INDEX(LEN_REPORT[],28,MATCH(CONDITIONS!$E$3,Len_DB!$C$8:$H$8,0)+1)</f>
        <v>Wood type</v>
      </c>
      <c r="C89" s="355" t="str">
        <f>Input!$I$22</f>
        <v>GL24h - UNI EN14080:2013</v>
      </c>
      <c r="D89" s="355"/>
      <c r="E89" s="355"/>
      <c r="H89" s="262" t="s">
        <v>1039</v>
      </c>
      <c r="I89" s="265">
        <f>INDEX(kmod[],MATCH($I$52,kmod[CS],0),MATCH($I$50,kmod[#Headers],0))</f>
        <v>0.8</v>
      </c>
      <c r="J89" s="264"/>
      <c r="K89" s="264"/>
    </row>
    <row r="90" spans="2:12" ht="16.5" x14ac:dyDescent="0.25">
      <c r="B90" s="259"/>
      <c r="C90" s="263"/>
      <c r="D90" s="263"/>
      <c r="E90" s="263"/>
      <c r="H90" s="262" t="s">
        <v>1040</v>
      </c>
      <c r="I90" s="265">
        <f>INDEX(kmod[],MATCH($I$52,kmod[CS],0),2)</f>
        <v>0.6</v>
      </c>
      <c r="J90" s="264"/>
      <c r="K90" s="264"/>
    </row>
    <row r="91" spans="2:12" ht="16.5" x14ac:dyDescent="0.25">
      <c r="B91" s="259"/>
      <c r="C91" s="263"/>
      <c r="D91" s="263"/>
      <c r="E91" s="263"/>
      <c r="H91" s="262" t="s">
        <v>1038</v>
      </c>
      <c r="I91" s="265">
        <v>0.67</v>
      </c>
      <c r="J91" s="264"/>
      <c r="K91" s="264"/>
    </row>
    <row r="92" spans="2:12" x14ac:dyDescent="0.25"/>
    <row r="93" spans="2:12" ht="15" thickBot="1" x14ac:dyDescent="0.3">
      <c r="B93" s="354" t="str" cm="1">
        <f t="array" ref="B93">INDEX(LEN_REPORT[],29,MATCH(CONDITIONS!$E$3,Len_DB!$C$8:$H$8,0)+1)</f>
        <v>Characteristics</v>
      </c>
      <c r="C93" s="354"/>
      <c r="D93" s="354"/>
      <c r="I93" s="277" t="s">
        <v>1033</v>
      </c>
      <c r="J93" s="277" t="s">
        <v>1025</v>
      </c>
    </row>
    <row r="94" spans="2:12" ht="19.5" thickTop="1" x14ac:dyDescent="0.25">
      <c r="B94" s="271" t="s">
        <v>941</v>
      </c>
      <c r="C94" s="272">
        <f>INDEX(TimberType[],MATCH(Input!$I$22,TimberType[Classe],0),MATCH(B94,TimberType[#Headers],0))</f>
        <v>24</v>
      </c>
      <c r="D94" s="273" t="s">
        <v>141</v>
      </c>
      <c r="H94" s="271" t="s">
        <v>35</v>
      </c>
      <c r="I94" s="272">
        <f>C94*I89/$K$152</f>
        <v>15.360000000000003</v>
      </c>
      <c r="J94" s="272">
        <f>C94*I90/$K$151</f>
        <v>11.52</v>
      </c>
      <c r="K94" s="272" t="s">
        <v>141</v>
      </c>
    </row>
    <row r="95" spans="2:12" ht="18.75" x14ac:dyDescent="0.25">
      <c r="B95" s="266" t="s">
        <v>942</v>
      </c>
      <c r="C95" s="267">
        <f>INDEX(TimberType[],MATCH(Input!$I$22,TimberType[Classe],0),MATCH(B95,TimberType[#Headers],0))</f>
        <v>19.2</v>
      </c>
      <c r="D95" s="268" t="s">
        <v>141</v>
      </c>
      <c r="H95" s="266" t="s">
        <v>1036</v>
      </c>
      <c r="I95" s="267">
        <f>C95*I89/$K$152</f>
        <v>12.288</v>
      </c>
      <c r="J95" s="267">
        <f>C95*I90/$K$151</f>
        <v>9.2159999999999993</v>
      </c>
      <c r="K95" s="267" t="s">
        <v>141</v>
      </c>
    </row>
    <row r="96" spans="2:12" ht="18.75" x14ac:dyDescent="0.25">
      <c r="B96" s="266" t="s">
        <v>943</v>
      </c>
      <c r="C96" s="267">
        <f>INDEX(TimberType[],MATCH(Input!$I$22,TimberType[Classe],0),MATCH(B96,TimberType[#Headers],0))</f>
        <v>0.5</v>
      </c>
      <c r="D96" s="268" t="s">
        <v>141</v>
      </c>
      <c r="H96" s="266" t="s">
        <v>41</v>
      </c>
      <c r="I96" s="267">
        <f>C96*I89/$K$152</f>
        <v>0.32</v>
      </c>
      <c r="J96" s="267">
        <f>C96*I90/$K$151</f>
        <v>0.24</v>
      </c>
      <c r="K96" s="267" t="s">
        <v>141</v>
      </c>
    </row>
    <row r="97" spans="2:12" ht="18.75" x14ac:dyDescent="0.25">
      <c r="B97" s="266" t="s">
        <v>944</v>
      </c>
      <c r="C97" s="267">
        <f>INDEX(TimberType[],MATCH(Input!$I$22,TimberType[Classe],0),MATCH(B97,TimberType[#Headers],0))</f>
        <v>24</v>
      </c>
      <c r="D97" s="268" t="s">
        <v>141</v>
      </c>
      <c r="H97" s="266" t="s">
        <v>44</v>
      </c>
      <c r="I97" s="267">
        <f>C97*I89/$K$152</f>
        <v>15.360000000000003</v>
      </c>
      <c r="J97" s="267">
        <f>C97*I90/$K$151</f>
        <v>11.52</v>
      </c>
      <c r="K97" s="267" t="s">
        <v>141</v>
      </c>
    </row>
    <row r="98" spans="2:12" ht="18.75" x14ac:dyDescent="0.25">
      <c r="B98" s="266" t="s">
        <v>945</v>
      </c>
      <c r="C98" s="267">
        <f>INDEX(TimberType[],MATCH(Input!$I$22,TimberType[Classe],0),MATCH(B98,TimberType[#Headers],0))</f>
        <v>2.5</v>
      </c>
      <c r="D98" s="268" t="s">
        <v>141</v>
      </c>
      <c r="H98" s="266" t="s">
        <v>47</v>
      </c>
      <c r="I98" s="267">
        <f>C98*I89/$K$152</f>
        <v>1.6</v>
      </c>
      <c r="J98" s="267">
        <f>C98*I90/$K$151</f>
        <v>1.2</v>
      </c>
      <c r="K98" s="267" t="s">
        <v>141</v>
      </c>
    </row>
    <row r="99" spans="2:12" ht="18.75" x14ac:dyDescent="0.25">
      <c r="B99" s="266" t="s">
        <v>946</v>
      </c>
      <c r="C99" s="267">
        <f>INDEX(TimberType[],MATCH(Input!$I$22,TimberType[Classe],0),MATCH(B99,TimberType[#Headers],0))</f>
        <v>3.5</v>
      </c>
      <c r="D99" s="268" t="s">
        <v>141</v>
      </c>
      <c r="H99" s="266" t="s">
        <v>48</v>
      </c>
      <c r="I99" s="267">
        <f>C99*I89/$K$152*I91</f>
        <v>1.5008000000000001</v>
      </c>
      <c r="J99" s="267">
        <f>C99*I90/$K$151*I91</f>
        <v>1.1256000000000002</v>
      </c>
      <c r="K99" s="267" t="s">
        <v>141</v>
      </c>
    </row>
    <row r="100" spans="2:12" ht="17.25" thickBot="1" x14ac:dyDescent="0.3">
      <c r="B100" s="266" t="s">
        <v>1034</v>
      </c>
      <c r="C100" s="267">
        <f>Input!$E$31</f>
        <v>1.2</v>
      </c>
      <c r="D100" s="268" t="s">
        <v>141</v>
      </c>
      <c r="H100" s="275" t="s">
        <v>1037</v>
      </c>
      <c r="I100" s="276">
        <f>C100*I89/$K$152</f>
        <v>0.76800000000000002</v>
      </c>
      <c r="J100" s="276">
        <f>C100*I90/$K$152</f>
        <v>0.57599999999999996</v>
      </c>
      <c r="K100" s="276" t="s">
        <v>141</v>
      </c>
    </row>
    <row r="101" spans="2:12" ht="15.75" thickTop="1" x14ac:dyDescent="0.25">
      <c r="B101" s="261"/>
      <c r="C101" s="236"/>
      <c r="D101" s="236"/>
    </row>
    <row r="102" spans="2:12" ht="18.75" x14ac:dyDescent="0.25">
      <c r="B102" s="266" t="s">
        <v>50</v>
      </c>
      <c r="C102" s="260">
        <f>INDEX(TimberType[],MATCH(Input!$I$22,TimberType[Classe],0),MATCH(B102,TimberType[#Headers],0))</f>
        <v>11500</v>
      </c>
      <c r="D102" s="268" t="s">
        <v>141</v>
      </c>
    </row>
    <row r="103" spans="2:12" ht="18.75" x14ac:dyDescent="0.25">
      <c r="B103" s="266" t="s">
        <v>52</v>
      </c>
      <c r="C103" s="260">
        <f>INDEX(TimberType[],MATCH(Input!$I$22,TimberType[Classe],0),MATCH(B103,TimberType[#Headers],0))</f>
        <v>9600</v>
      </c>
      <c r="D103" s="268" t="s">
        <v>141</v>
      </c>
    </row>
    <row r="104" spans="2:12" ht="18.75" x14ac:dyDescent="0.25">
      <c r="B104" s="266" t="s">
        <v>743</v>
      </c>
      <c r="C104" s="260">
        <f>INDEX(TimberType[],MATCH(Input!$I$22,TimberType[Classe],0),MATCH(B104,TimberType[#Headers],0))</f>
        <v>650</v>
      </c>
      <c r="D104" s="268" t="s">
        <v>141</v>
      </c>
    </row>
    <row r="105" spans="2:12" ht="18.75" x14ac:dyDescent="0.25">
      <c r="B105" s="266" t="s">
        <v>753</v>
      </c>
      <c r="C105" s="260">
        <f>INDEX(TimberType[],MATCH(Input!$I$22,TimberType[Classe],0),MATCH(B105,TimberType[#Headers],0))</f>
        <v>540</v>
      </c>
      <c r="D105" s="268" t="s">
        <v>141</v>
      </c>
    </row>
    <row r="106" spans="2:12" ht="15" x14ac:dyDescent="0.25">
      <c r="B106" s="261"/>
      <c r="C106" s="236"/>
    </row>
    <row r="107" spans="2:12" ht="19.5" thickBot="1" x14ac:dyDescent="0.3">
      <c r="B107" s="269" t="s">
        <v>1035</v>
      </c>
      <c r="C107" s="274">
        <f>INDEX(TimberType[],MATCH(Input!$I$22,TimberType[Classe],0),MATCH(B107,TimberType[#Headers],0))</f>
        <v>385</v>
      </c>
      <c r="D107" s="270" t="s">
        <v>1032</v>
      </c>
    </row>
    <row r="108" spans="2:12" ht="15" thickTop="1" x14ac:dyDescent="0.25"/>
    <row r="109" spans="2:12" x14ac:dyDescent="0.25"/>
    <row r="110" spans="2:12" ht="67.5" customHeight="1" x14ac:dyDescent="0.25"/>
    <row r="111" spans="2:12" x14ac:dyDescent="0.25"/>
    <row r="112" spans="2:12" ht="15" x14ac:dyDescent="0.25">
      <c r="B112" s="319" t="str" cm="1">
        <f t="array" ref="B112">INDEX(LEN_REPORT[],31,MATCH(CONDITIONS!$E$3,Len_DB!$C$8:$H$8,0)+1)</f>
        <v>Geometry</v>
      </c>
      <c r="C112" s="319"/>
      <c r="D112" s="319"/>
      <c r="E112" s="319"/>
      <c r="F112" s="319"/>
      <c r="G112" s="319"/>
      <c r="H112" s="319"/>
      <c r="I112" s="319"/>
      <c r="J112" s="319"/>
      <c r="K112" s="319"/>
      <c r="L112" s="319"/>
    </row>
    <row r="113" spans="2:12" ht="3.75" customHeight="1" x14ac:dyDescent="0.25"/>
    <row r="114" spans="2:12" s="239" customFormat="1" ht="12.75" x14ac:dyDescent="0.25">
      <c r="B114" s="320" t="str" cm="1">
        <f t="array" ref="B114">INDEX(LEN_REPORT[],27,MATCH(CONDITIONS!$E$3,Len_DB!$C$8:$H$8,0)+1)</f>
        <v>(1) Slab</v>
      </c>
      <c r="C114" s="320"/>
      <c r="D114" s="320"/>
      <c r="E114" s="320"/>
      <c r="F114" s="320"/>
      <c r="H114" s="320" t="str" cm="1">
        <f t="array" ref="H114">INDEX(LEN_REPORT[],30,MATCH(CONDITIONS!$E$3,Len_DB!$C$8:$H$8,0)+1)</f>
        <v>(2) Rib beam</v>
      </c>
      <c r="I114" s="320"/>
      <c r="J114" s="320"/>
      <c r="K114" s="320"/>
      <c r="L114" s="320"/>
    </row>
    <row r="115" spans="2:12" s="239" customFormat="1" ht="7.5" customHeight="1" x14ac:dyDescent="0.25"/>
    <row r="116" spans="2:12" s="239" customFormat="1" ht="13.15" customHeight="1" x14ac:dyDescent="0.25">
      <c r="B116" s="232" t="str" cm="1">
        <f t="array" ref="B116">INDEX(LEN_REPORT[],33,MATCH(CONDITIONS!$E$3,Len_DB!$C$8:$H$8,0)+1)</f>
        <v>Height</v>
      </c>
      <c r="C116" s="315" t="s">
        <v>1004</v>
      </c>
      <c r="D116" s="315"/>
      <c r="E116" s="251">
        <f>Input!$E$29</f>
        <v>80</v>
      </c>
      <c r="F116" s="241" t="s">
        <v>65</v>
      </c>
      <c r="H116" s="232" t="str" cm="1">
        <f t="array" ref="H116">INDEX(LEN_REPORT[],36,MATCH(CONDITIONS!$E$3,Len_DB!$C$8:$H$8,0)+1)</f>
        <v>Height</v>
      </c>
      <c r="I116" s="315" t="s">
        <v>1008</v>
      </c>
      <c r="J116" s="315"/>
      <c r="K116" s="251">
        <f>Input!$K$29</f>
        <v>260</v>
      </c>
      <c r="L116" s="241" t="s">
        <v>65</v>
      </c>
    </row>
    <row r="117" spans="2:12" s="239" customFormat="1" ht="13.15" customHeight="1" x14ac:dyDescent="0.25">
      <c r="B117" s="232" t="str" cm="1">
        <f t="array" ref="B117">INDEX(LEN_REPORT[],34,MATCH(CONDITIONS!$E$3,Len_DB!$C$8:$H$8,0)+1)</f>
        <v>Base</v>
      </c>
      <c r="C117" s="315" t="s">
        <v>1005</v>
      </c>
      <c r="D117" s="315"/>
      <c r="E117" s="251">
        <f>Input!E30</f>
        <v>800</v>
      </c>
      <c r="F117" s="241" t="s">
        <v>65</v>
      </c>
      <c r="H117" s="232" t="str" cm="1">
        <f t="array" ref="H117">INDEX(LEN_REPORT[],37,MATCH(CONDITIONS!$E$3,Len_DB!$C$8:$H$8,0)+1)</f>
        <v>Base</v>
      </c>
      <c r="I117" s="315" t="s">
        <v>1009</v>
      </c>
      <c r="J117" s="315"/>
      <c r="K117" s="251">
        <f>Input!$K$30</f>
        <v>150</v>
      </c>
      <c r="L117" s="241" t="s">
        <v>65</v>
      </c>
    </row>
    <row r="118" spans="2:12" s="239" customFormat="1" ht="11.25" customHeight="1" x14ac:dyDescent="0.25">
      <c r="B118" s="232"/>
      <c r="F118" s="241"/>
      <c r="I118" s="315" t="s">
        <v>1007</v>
      </c>
      <c r="J118" s="315"/>
      <c r="K118" s="251">
        <f>Input!K28</f>
        <v>150</v>
      </c>
      <c r="L118" s="241" t="s">
        <v>65</v>
      </c>
    </row>
    <row r="119" spans="2:12" s="239" customFormat="1" ht="13.15" customHeight="1" x14ac:dyDescent="0.25">
      <c r="B119" s="232" t="str" cm="1">
        <f t="array" ref="B119">INDEX(LEN_REPORT[],35,MATCH(CONDITIONS!$E$3,Len_DB!$C$8:$H$8,0)+1)</f>
        <v>Beam span</v>
      </c>
      <c r="C119" s="315" t="s">
        <v>995</v>
      </c>
      <c r="D119" s="315"/>
      <c r="E119" s="251">
        <f>Input!$E$33</f>
        <v>6000</v>
      </c>
      <c r="F119" s="241" t="s">
        <v>65</v>
      </c>
      <c r="H119" s="232"/>
    </row>
    <row r="120" spans="2:12" s="239" customFormat="1" ht="3.75" customHeight="1" x14ac:dyDescent="0.25"/>
    <row r="121" spans="2:12" s="239" customFormat="1" ht="150" customHeight="1" x14ac:dyDescent="0.25">
      <c r="B121" s="322"/>
      <c r="C121" s="322"/>
      <c r="D121" s="322"/>
      <c r="E121" s="322"/>
      <c r="F121" s="322"/>
      <c r="G121" s="322"/>
      <c r="H121" s="322"/>
      <c r="I121" s="322"/>
      <c r="J121" s="322"/>
      <c r="K121" s="322"/>
      <c r="L121" s="322"/>
    </row>
    <row r="122" spans="2:12" ht="3.75" customHeight="1" x14ac:dyDescent="0.25">
      <c r="B122"/>
      <c r="C122"/>
      <c r="D122"/>
      <c r="E122"/>
      <c r="F122"/>
      <c r="G122"/>
      <c r="H122"/>
    </row>
    <row r="123" spans="2:12" ht="15" x14ac:dyDescent="0.25">
      <c r="B123" s="319" t="str" cm="1">
        <f t="array" ref="B123">INDEX(LEN_REPORT[],38,MATCH(CONDITIONS!$E$3,Len_DB!$C$8:$H$8,0)+1)</f>
        <v>Connection stiffness</v>
      </c>
      <c r="C123" s="319"/>
      <c r="D123" s="319"/>
      <c r="E123" s="319"/>
      <c r="F123" s="319"/>
      <c r="G123" s="319"/>
      <c r="H123" s="319"/>
      <c r="I123" s="319"/>
      <c r="J123" s="319"/>
      <c r="K123" s="319"/>
      <c r="L123" s="319"/>
    </row>
    <row r="124" spans="2:12" ht="3.75" customHeight="1" x14ac:dyDescent="0.25"/>
    <row r="125" spans="2:12" s="239" customFormat="1" ht="12.75" x14ac:dyDescent="0.25">
      <c r="B125" s="320" t="str" cm="1">
        <f t="array" ref="B125">INDEX(LEN_REPORT[],10,MATCH(CONDITIONS!$E$3,Len_DB!$C$8:$H$8,0)+1)</f>
        <v>At support</v>
      </c>
      <c r="C125" s="320"/>
      <c r="D125" s="320"/>
      <c r="E125" s="320"/>
      <c r="F125" s="320"/>
      <c r="H125" s="320" t="str" cm="1">
        <f t="array" ref="H125">INDEX(LEN_REPORT[],11,MATCH(CONDITIONS!$E$3,Len_DB!$C$8:$H$8,0)+1)</f>
        <v>At mid span</v>
      </c>
      <c r="I125" s="320"/>
      <c r="J125" s="320"/>
      <c r="K125" s="320"/>
      <c r="L125" s="320"/>
    </row>
    <row r="126" spans="2:12" s="239" customFormat="1" ht="7.5" customHeight="1" x14ac:dyDescent="0.25"/>
    <row r="127" spans="2:12" x14ac:dyDescent="0.25">
      <c r="B127" s="357" t="str" cm="1">
        <f t="array" ref="B127">INDEX(LEN_REPORT[],39,MATCH(CONDITIONS!$E$3,Len_DB!$C$8:$H$8,0)+1)</f>
        <v>Sharp metal type:</v>
      </c>
      <c r="C127" s="358"/>
      <c r="D127" s="358"/>
      <c r="E127" s="358"/>
      <c r="F127" s="358"/>
      <c r="H127" s="357" t="str" cm="1">
        <f t="array" ref="H127">INDEX(LEN_REPORT[],39,MATCH(CONDITIONS!$E$3,Len_DB!$C$8:$H$8,0)+1)</f>
        <v>Sharp metal type:</v>
      </c>
      <c r="I127" s="358"/>
      <c r="J127" s="358"/>
      <c r="K127" s="358"/>
      <c r="L127" s="358"/>
    </row>
    <row r="128" spans="2:12" ht="3.75" customHeight="1" x14ac:dyDescent="0.25">
      <c r="B128" s="248"/>
      <c r="C128" s="248"/>
      <c r="D128" s="248"/>
      <c r="E128" s="248"/>
      <c r="F128" s="248"/>
      <c r="H128" s="248"/>
      <c r="I128" s="248"/>
      <c r="J128" s="248"/>
      <c r="K128" s="248"/>
      <c r="L128" s="248"/>
    </row>
    <row r="129" spans="2:12" x14ac:dyDescent="0.25">
      <c r="B129" s="356" t="str">
        <f>Input!$C$41</f>
        <v>SHARP METAL + TBS MAX@a ≤ 100mm</v>
      </c>
      <c r="C129" s="356"/>
      <c r="D129" s="356"/>
      <c r="E129" s="356"/>
      <c r="F129" s="356"/>
      <c r="H129" s="356" t="str">
        <f>Input!$I$41</f>
        <v>SHARP METAL + TBS MAX@a ≤ 100mm</v>
      </c>
      <c r="I129" s="356"/>
      <c r="J129" s="356"/>
      <c r="K129" s="356"/>
      <c r="L129" s="356"/>
    </row>
    <row r="130" spans="2:12" ht="7.5" customHeight="1" x14ac:dyDescent="0.25"/>
    <row r="131" spans="2:12" x14ac:dyDescent="0.25">
      <c r="B131" s="280" t="str" cm="1">
        <f t="array" ref="B131">INDEX(LEN_REPORT[],40,MATCH(CONDITIONS!$E$3,Len_DB!$C$8:$H$8,0)+1)</f>
        <v>Influence lenght</v>
      </c>
      <c r="C131" s="315" t="s">
        <v>996</v>
      </c>
      <c r="D131" s="315"/>
      <c r="E131" s="251">
        <f>Input!E42</f>
        <v>1500</v>
      </c>
      <c r="F131" s="241" t="s">
        <v>65</v>
      </c>
      <c r="H131" s="280" t="str" cm="1">
        <f t="array" ref="H131">INDEX(LEN_REPORT[],40,MATCH(CONDITIONS!$E$3,Len_DB!$C$8:$H$8,0)+1)</f>
        <v>Influence lenght</v>
      </c>
      <c r="I131" s="315" t="s">
        <v>997</v>
      </c>
      <c r="J131" s="315"/>
      <c r="K131" s="251">
        <f>Input!K42</f>
        <v>3000</v>
      </c>
      <c r="L131" s="241" t="s">
        <v>65</v>
      </c>
    </row>
    <row r="132" spans="2:12" ht="3.75" customHeight="1" x14ac:dyDescent="0.25">
      <c r="B132" s="280"/>
      <c r="C132" s="247"/>
      <c r="D132" s="247"/>
      <c r="E132" s="251"/>
      <c r="F132" s="241"/>
      <c r="H132" s="280"/>
      <c r="I132" s="247"/>
      <c r="J132" s="247"/>
      <c r="K132" s="251"/>
      <c r="L132" s="241"/>
    </row>
    <row r="133" spans="2:12" ht="25.5" x14ac:dyDescent="0.25">
      <c r="B133" s="281" t="str" cm="1">
        <f t="array" ref="B133">INDEX(LEN_REPORT[],41,MATCH(CONDITIONS!$E$3,Len_DB!$C$8:$H$8,0)+1)</f>
        <v>Number of SHARP METAL</v>
      </c>
      <c r="C133" s="239"/>
      <c r="D133" s="239"/>
      <c r="E133" s="251">
        <f>Input!E43</f>
        <v>2</v>
      </c>
      <c r="F133" s="241"/>
      <c r="H133" s="281" t="str" cm="1">
        <f t="array" ref="H133">INDEX(LEN_REPORT[],41,MATCH(CONDITIONS!$E$3,Len_DB!$C$8:$H$8,0)+1)</f>
        <v>Number of SHARP METAL</v>
      </c>
      <c r="I133" s="239"/>
      <c r="J133" s="239"/>
      <c r="K133" s="251">
        <f>Input!K43</f>
        <v>1</v>
      </c>
      <c r="L133" s="241"/>
    </row>
    <row r="134" spans="2:12" ht="3.75" customHeight="1" x14ac:dyDescent="0.25">
      <c r="B134" s="281"/>
      <c r="C134" s="239"/>
      <c r="D134" s="239"/>
      <c r="E134" s="251"/>
      <c r="F134" s="241"/>
      <c r="H134" s="281"/>
      <c r="I134" s="239"/>
      <c r="J134" s="239"/>
      <c r="K134" s="251"/>
      <c r="L134" s="241"/>
    </row>
    <row r="135" spans="2:12" ht="25.5" x14ac:dyDescent="0.25">
      <c r="B135" s="281" t="str" cm="1">
        <f t="array" ref="B135">INDEX(LEN_REPORT[],42,MATCH(CONDITIONS!$E$3,Len_DB!$C$8:$H$8,0)+1)</f>
        <v>TBS MAX diameter</v>
      </c>
      <c r="C135" s="315" t="s">
        <v>999</v>
      </c>
      <c r="D135" s="315"/>
      <c r="E135" s="251">
        <f>Input!E44</f>
        <v>8</v>
      </c>
      <c r="F135" s="241" t="s">
        <v>65</v>
      </c>
      <c r="H135" s="281" t="str" cm="1">
        <f t="array" ref="H135">INDEX(LEN_REPORT[],42,MATCH(CONDITIONS!$E$3,Len_DB!$C$8:$H$8,0)+1)</f>
        <v>TBS MAX diameter</v>
      </c>
      <c r="I135" s="315" t="s">
        <v>999</v>
      </c>
      <c r="J135" s="315"/>
      <c r="K135" s="251">
        <f>Input!K44</f>
        <v>8</v>
      </c>
      <c r="L135" s="241" t="s">
        <v>65</v>
      </c>
    </row>
    <row r="136" spans="2:12" x14ac:dyDescent="0.25">
      <c r="B136" s="285" t="s">
        <v>1052</v>
      </c>
      <c r="C136" s="239"/>
      <c r="D136" s="239"/>
      <c r="E136" s="251">
        <f>Input!E45</f>
        <v>25</v>
      </c>
      <c r="F136" s="241" t="s">
        <v>65</v>
      </c>
      <c r="H136" s="285" t="s">
        <v>1052</v>
      </c>
      <c r="I136" s="239"/>
      <c r="J136" s="239"/>
      <c r="K136" s="251">
        <f>Input!K45</f>
        <v>25</v>
      </c>
      <c r="L136" s="241" t="s">
        <v>65</v>
      </c>
    </row>
    <row r="137" spans="2:12" ht="16.5" customHeight="1" x14ac:dyDescent="0.25">
      <c r="B137" s="286" t="s">
        <v>1053</v>
      </c>
      <c r="C137" s="315" t="s">
        <v>998</v>
      </c>
      <c r="D137" s="315"/>
      <c r="E137" s="251">
        <f>Input!E46</f>
        <v>40</v>
      </c>
      <c r="F137" s="241" t="s">
        <v>65</v>
      </c>
      <c r="G137"/>
      <c r="H137" s="286" t="s">
        <v>1053</v>
      </c>
      <c r="I137" s="315" t="s">
        <v>998</v>
      </c>
      <c r="J137" s="315"/>
      <c r="K137" s="251">
        <f>Input!K46</f>
        <v>40</v>
      </c>
      <c r="L137" s="241" t="s">
        <v>65</v>
      </c>
    </row>
    <row r="138" spans="2:12" ht="3.75" customHeight="1" x14ac:dyDescent="0.25">
      <c r="B138"/>
      <c r="C138"/>
      <c r="D138"/>
      <c r="E138"/>
      <c r="F138"/>
      <c r="G138"/>
      <c r="H138"/>
    </row>
    <row r="139" spans="2:12" ht="120" customHeight="1" x14ac:dyDescent="0.25">
      <c r="B139" s="311"/>
      <c r="C139" s="311"/>
      <c r="D139" s="311"/>
      <c r="E139" s="311"/>
      <c r="F139" s="311"/>
      <c r="G139"/>
      <c r="H139" s="311"/>
      <c r="I139" s="311"/>
      <c r="J139" s="311"/>
      <c r="K139" s="311"/>
      <c r="L139" s="311"/>
    </row>
    <row r="140" spans="2:12" ht="3.75" customHeight="1" x14ac:dyDescent="0.25">
      <c r="B140"/>
      <c r="C140"/>
      <c r="D140"/>
      <c r="E140"/>
      <c r="F140"/>
      <c r="G140"/>
      <c r="H140"/>
    </row>
    <row r="141" spans="2:12" x14ac:dyDescent="0.2">
      <c r="B141" s="286" t="str" cm="1">
        <f t="array" ref="B141">INDEX(LEN_REPORT[],43,MATCH(CONDITIONS!$E$3,Len_DB!$C$8:$H$8,0)+1)</f>
        <v>ELS Stiffness</v>
      </c>
      <c r="C141" s="315" t="s">
        <v>1044</v>
      </c>
      <c r="D141" s="315"/>
      <c r="E141" s="250">
        <f>'sharp metal'!C9*0.75+'sharp metal'!G9*0.25</f>
        <v>240187.5</v>
      </c>
      <c r="F141" s="241" t="s">
        <v>78</v>
      </c>
      <c r="H141" s="286" t="str" cm="1">
        <f t="array" ref="H141">INDEX(LEN_REPORT[],43,MATCH(CONDITIONS!$E$3,Len_DB!$C$8:$H$8,0)+1)</f>
        <v>ELS Stiffness</v>
      </c>
      <c r="I141" s="315" t="s">
        <v>1044</v>
      </c>
      <c r="J141" s="315"/>
      <c r="K141" s="250">
        <f>E141</f>
        <v>240187.5</v>
      </c>
      <c r="L141" s="241" t="s">
        <v>78</v>
      </c>
    </row>
    <row r="142" spans="2:12" ht="15" x14ac:dyDescent="0.25">
      <c r="B142" s="286" t="str" cm="1">
        <f t="array" ref="B142">INDEX(LEN_REPORT[],44,MATCH(CONDITIONS!$E$3,Len_DB!$C$8:$H$8,0)+1)</f>
        <v>ULS Stiffness</v>
      </c>
      <c r="C142" s="315" t="s">
        <v>1044</v>
      </c>
      <c r="D142" s="315"/>
      <c r="E142" s="250">
        <f>2/3*E141</f>
        <v>160125</v>
      </c>
      <c r="F142" s="241" t="s">
        <v>78</v>
      </c>
      <c r="G142"/>
      <c r="H142" s="286" t="str" cm="1">
        <f t="array" ref="H142">INDEX(LEN_REPORT[],44,MATCH(CONDITIONS!$E$3,Len_DB!$C$8:$H$8,0)+1)</f>
        <v>ULS Stiffness</v>
      </c>
      <c r="I142" s="315" t="s">
        <v>1044</v>
      </c>
      <c r="J142" s="315"/>
      <c r="K142" s="250">
        <f>E142</f>
        <v>160125</v>
      </c>
      <c r="L142" s="241" t="s">
        <v>78</v>
      </c>
    </row>
    <row r="143" spans="2:12" ht="25.5" x14ac:dyDescent="0.2">
      <c r="B143" s="287" t="str" cm="1">
        <f t="array" ref="B143">INDEX(LEN_REPORT[],45,MATCH(CONDITIONS!$E$3,Len_DB!$C$8:$H$8,0)+1)</f>
        <v>SHARP METAL lenght</v>
      </c>
      <c r="C143" s="315" t="s">
        <v>947</v>
      </c>
      <c r="D143" s="315" t="s">
        <v>7</v>
      </c>
      <c r="E143" s="249">
        <v>1000</v>
      </c>
      <c r="F143" s="241" t="s">
        <v>65</v>
      </c>
      <c r="H143" s="287" t="str" cm="1">
        <f t="array" ref="H143">INDEX(LEN_REPORT[],45,MATCH(CONDITIONS!$E$3,Len_DB!$C$8:$H$8,0)+1)</f>
        <v>SHARP METAL lenght</v>
      </c>
      <c r="I143" s="315" t="s">
        <v>947</v>
      </c>
      <c r="J143" s="315" t="s">
        <v>7</v>
      </c>
      <c r="K143" s="249">
        <v>1000</v>
      </c>
      <c r="L143" s="241" t="s">
        <v>65</v>
      </c>
    </row>
    <row r="144" spans="2:12" ht="7.5" customHeight="1" x14ac:dyDescent="0.25">
      <c r="B144" s="230"/>
      <c r="E144"/>
      <c r="F144"/>
      <c r="G144"/>
      <c r="H144" s="230"/>
      <c r="K144"/>
      <c r="L144"/>
    </row>
    <row r="145" spans="2:12" ht="15" customHeight="1" x14ac:dyDescent="0.25">
      <c r="B145" s="369" t="str" cm="1">
        <f t="array" ref="B145">INDEX(LEN_REPORT[],46,MATCH(CONDITIONS!$E$3,Len_DB!$C$8:$H$8,0)+1)</f>
        <v>Connection design resistance</v>
      </c>
      <c r="C145" s="315" t="s">
        <v>1048</v>
      </c>
      <c r="D145" s="315"/>
      <c r="E145" s="249">
        <f>'sharp metal'!C14*I90/MAX($K$150)</f>
        <v>68121.234837792785</v>
      </c>
      <c r="F145" s="241" t="s">
        <v>4</v>
      </c>
      <c r="G145"/>
      <c r="H145" s="369" t="str" cm="1">
        <f t="array" ref="H145">INDEX(LEN_REPORT[],46,MATCH(CONDITIONS!$E$3,Len_DB!$C$8:$H$8,0)+1)</f>
        <v>Connection design resistance</v>
      </c>
      <c r="I145" s="315" t="s">
        <v>1048</v>
      </c>
      <c r="J145" s="315"/>
      <c r="K145" s="249">
        <f>'sharp metal'!G14*I90/K150</f>
        <v>34060.617418896392</v>
      </c>
      <c r="L145" s="241" t="s">
        <v>4</v>
      </c>
    </row>
    <row r="146" spans="2:12" x14ac:dyDescent="0.25">
      <c r="B146" s="369"/>
      <c r="C146" s="315" t="s">
        <v>1047</v>
      </c>
      <c r="D146" s="315"/>
      <c r="E146" s="249">
        <f>'sharp metal'!C14*I89/MAX($K$150)</f>
        <v>90828.313117057056</v>
      </c>
      <c r="F146" s="241" t="s">
        <v>4</v>
      </c>
      <c r="H146" s="369"/>
      <c r="I146" s="315" t="s">
        <v>1047</v>
      </c>
      <c r="J146" s="315"/>
      <c r="K146" s="249">
        <f>'sharp metal'!G14*I89/K150</f>
        <v>45414.156558528528</v>
      </c>
      <c r="L146" s="241" t="s">
        <v>4</v>
      </c>
    </row>
    <row r="147" spans="2:12" ht="3.75" customHeight="1" x14ac:dyDescent="0.25">
      <c r="B147"/>
      <c r="C147"/>
      <c r="D147"/>
      <c r="E147"/>
      <c r="F147"/>
      <c r="G147"/>
      <c r="H147"/>
    </row>
    <row r="148" spans="2:12" ht="15" x14ac:dyDescent="0.25">
      <c r="B148" s="319" t="str" cm="1">
        <f t="array" ref="B148">INDEX(LEN_REPORT[],47,MATCH(CONDITIONS!$E$3,Len_DB!$C$8:$H$8,0)+1)</f>
        <v>Coefficients</v>
      </c>
      <c r="C148" s="319"/>
      <c r="D148" s="319"/>
      <c r="E148" s="319"/>
      <c r="F148" s="319"/>
      <c r="G148" s="319"/>
      <c r="H148" s="319"/>
      <c r="I148" s="319"/>
      <c r="J148" s="319"/>
      <c r="K148" s="319"/>
      <c r="L148" s="319"/>
    </row>
    <row r="149" spans="2:12" ht="7.5" customHeight="1" x14ac:dyDescent="0.25"/>
    <row r="150" spans="2:12" ht="18" x14ac:dyDescent="0.2">
      <c r="C150" s="315" t="s">
        <v>948</v>
      </c>
      <c r="D150" s="315"/>
      <c r="E150" s="283">
        <f>INDEX(kdef[],MATCH($I$52,kdef[CS],0),2)</f>
        <v>0.69</v>
      </c>
      <c r="H150" s="286" t="s">
        <v>742</v>
      </c>
      <c r="I150" s="315" t="s">
        <v>951</v>
      </c>
      <c r="J150" s="315"/>
      <c r="K150" s="283">
        <f>INDEX(γ[],MATCH(LEFT(I150,2),γ[γ],0),MATCH(Input!$I$5,γ[#Headers],0))</f>
        <v>1.3</v>
      </c>
    </row>
    <row r="151" spans="2:12" ht="18" x14ac:dyDescent="0.2">
      <c r="C151" s="315" t="s">
        <v>949</v>
      </c>
      <c r="D151" s="315"/>
      <c r="E151" s="283">
        <f>IF(F151="C",IF(E116&lt;=150,MIN((150/E116)^0.2,1.3),1),IF(E116&lt;600,MIN((600/E116)^0.1,1.1),1))</f>
        <v>1.1339665776330272</v>
      </c>
      <c r="F151" s="284" t="str">
        <f>IF(LEFT(Input!$C$22,1)="C","C",IF(LEFT(Input!$C$22,2)="GL","GL","err"))</f>
        <v>C</v>
      </c>
      <c r="H151" s="286" t="s">
        <v>691</v>
      </c>
      <c r="I151" s="315" t="s">
        <v>952</v>
      </c>
      <c r="J151" s="315"/>
      <c r="K151" s="283">
        <f>INDEX(γ[],MATCH(I151,γ[γ],0),MATCH(Input!$I$5,γ[#Headers],0))</f>
        <v>1.25</v>
      </c>
    </row>
    <row r="152" spans="2:12" ht="18" x14ac:dyDescent="0.2">
      <c r="C152" s="315" t="s">
        <v>950</v>
      </c>
      <c r="D152" s="315"/>
      <c r="E152" s="283">
        <f>IF(F152="C",IF(K116&lt;=150,MIN((150/K116)^0.2,1.3),1),IF(K116&lt;600,MIN((600/K116)^0.1,1.1),1))</f>
        <v>1.0872208946249378</v>
      </c>
      <c r="F152" s="284" t="str">
        <f>IF(LEFT(Input!$I$22,1)="C","C",IF(LEFT(Input!$I$22,2)="GL","GL","err"))</f>
        <v>GL</v>
      </c>
      <c r="H152" s="286" t="s">
        <v>711</v>
      </c>
      <c r="I152" s="315" t="s">
        <v>953</v>
      </c>
      <c r="J152" s="315"/>
      <c r="K152" s="283">
        <f>INDEX(γ[],MATCH(I152,γ[γ],0),MATCH(Input!$I$5,γ[#Headers],0))</f>
        <v>1.25</v>
      </c>
    </row>
    <row r="153" spans="2:12" ht="74.25" customHeight="1" x14ac:dyDescent="0.25"/>
    <row r="154" spans="2:12" x14ac:dyDescent="0.25"/>
    <row r="155" spans="2:12" ht="15" x14ac:dyDescent="0.25">
      <c r="B155" s="319" t="str" cm="1">
        <f t="array" ref="B155">INDEX(LEN_REPORT[],48,MATCH(CONDITIONS!$E$3,Len_DB!$C$8:$H$8,0)+1)</f>
        <v>Loads and internal actions</v>
      </c>
      <c r="C155" s="319"/>
      <c r="D155" s="319"/>
      <c r="E155" s="319"/>
      <c r="F155" s="319"/>
      <c r="G155" s="319"/>
      <c r="H155" s="319"/>
      <c r="I155" s="319"/>
      <c r="J155" s="319"/>
      <c r="K155" s="319"/>
      <c r="L155" s="319"/>
    </row>
    <row r="156" spans="2:12" ht="3.75" customHeight="1" x14ac:dyDescent="0.25"/>
    <row r="157" spans="2:12" ht="15" x14ac:dyDescent="0.25">
      <c r="B157" s="285" t="str" cm="1">
        <f t="array" ref="B157">INDEX(LEN_REPORT[],49,MATCH(CONDITIONS!$E$3,Len_DB!$C$8:$H$8,0)+1)</f>
        <v>Permanent loads</v>
      </c>
      <c r="C157" s="315" t="s">
        <v>1001</v>
      </c>
      <c r="D157" s="315"/>
      <c r="E157" s="285">
        <f>$E$59</f>
        <v>2</v>
      </c>
      <c r="F157" s="248" t="s">
        <v>994</v>
      </c>
    </row>
    <row r="158" spans="2:12" ht="15" x14ac:dyDescent="0.25">
      <c r="B158" s="285" t="str" cm="1">
        <f t="array" ref="B158">INDEX(LEN_REPORT[],50,MATCH(CONDITIONS!$E$3,Len_DB!$C$8:$H$8,0)+1)</f>
        <v>Accidental loads</v>
      </c>
      <c r="C158" s="315" t="s">
        <v>1002</v>
      </c>
      <c r="D158" s="315"/>
      <c r="E158" s="285">
        <f>$E$60</f>
        <v>1.6</v>
      </c>
      <c r="F158" s="248" t="s">
        <v>994</v>
      </c>
    </row>
    <row r="159" spans="2:12" ht="7.5" customHeight="1" x14ac:dyDescent="0.25"/>
    <row r="160" spans="2:12" ht="25.5" x14ac:dyDescent="0.25">
      <c r="B160" s="288" t="str" cm="1">
        <f t="array" ref="B160">INDEX(LEN_REPORT[],51,MATCH(CONDITIONS!$E$3,Len_DB!$C$8:$H$8,0)+1)</f>
        <v>Design load (permanent)</v>
      </c>
      <c r="G160" s="289">
        <f>(Dati!$K$78*E157)</f>
        <v>2.7</v>
      </c>
      <c r="H160" s="285" t="s">
        <v>97</v>
      </c>
      <c r="I160" s="297"/>
    </row>
    <row r="161" spans="2:12" x14ac:dyDescent="0.25">
      <c r="B161" s="288" t="str" cm="1">
        <f t="array" ref="B161">INDEX(LEN_REPORT[],52,MATCH(CONDITIONS!$E$3,Len_DB!$C$8:$H$8,0)+1)</f>
        <v>Design load</v>
      </c>
      <c r="G161" s="289">
        <f>(Dati!$K$78*E157+Dati!$K$79*E158)</f>
        <v>5.1000000000000005</v>
      </c>
      <c r="H161" s="285" t="s">
        <v>97</v>
      </c>
      <c r="I161" s="297"/>
    </row>
    <row r="162" spans="2:12" ht="8.25" customHeight="1" x14ac:dyDescent="0.25">
      <c r="B162" s="296"/>
    </row>
    <row r="163" spans="2:12" ht="150" customHeight="1" x14ac:dyDescent="0.25">
      <c r="B163" s="366"/>
      <c r="C163" s="366"/>
      <c r="D163" s="366"/>
      <c r="E163" s="366"/>
      <c r="F163" s="366"/>
      <c r="H163" s="366"/>
      <c r="I163" s="366"/>
      <c r="J163" s="366"/>
      <c r="K163" s="366"/>
      <c r="L163" s="366"/>
    </row>
    <row r="164" spans="2:12" ht="6.75" customHeight="1" x14ac:dyDescent="0.25"/>
    <row r="165" spans="2:12" ht="15" x14ac:dyDescent="0.25">
      <c r="B165" s="319" t="str" cm="1">
        <f t="array" ref="B165">INDEX(LEN_REPORT[],53,MATCH(CONDITIONS!$E$3,Len_DB!$C$8:$H$8,0)+1)</f>
        <v>ULS combinations</v>
      </c>
      <c r="C165" s="319"/>
      <c r="D165" s="319"/>
      <c r="E165" s="319"/>
      <c r="F165" s="319"/>
      <c r="G165" s="319"/>
      <c r="H165" s="319"/>
      <c r="I165" s="319"/>
      <c r="J165" s="319"/>
      <c r="K165" s="319"/>
      <c r="L165" s="319"/>
    </row>
    <row r="166" spans="2:12" ht="6.75" customHeight="1" x14ac:dyDescent="0.25"/>
    <row r="167" spans="2:12" ht="27" customHeight="1" x14ac:dyDescent="0.25">
      <c r="B167" s="285" t="str" cm="1">
        <f t="array" ref="B167">INDEX(LEN_REPORT[],54,MATCH(CONDITIONS!$E$3,Len_DB!$C$8:$H$8,0)+1)</f>
        <v>Bending moment</v>
      </c>
      <c r="E167" s="291">
        <f>$G$160*$E$119^2/8/10^6</f>
        <v>12.15</v>
      </c>
      <c r="F167" s="285" t="s">
        <v>100</v>
      </c>
      <c r="H167" s="285" t="str" cm="1">
        <f t="array" ref="H167">INDEX(LEN_REPORT[],54,MATCH(CONDITIONS!$E$3,Len_DB!$C$8:$H$8,0)+1)</f>
        <v>Bending moment</v>
      </c>
      <c r="I167" s="285"/>
      <c r="K167" s="291">
        <f>$G$161*$E$119^2/8/10^6</f>
        <v>22.950000000000003</v>
      </c>
      <c r="L167" s="285" t="s">
        <v>100</v>
      </c>
    </row>
    <row r="168" spans="2:12" ht="27" customHeight="1" x14ac:dyDescent="0.25">
      <c r="B168" s="285" t="str" cm="1">
        <f t="array" ref="B168">INDEX(LEN_REPORT[],55,MATCH(CONDITIONS!$E$3,Len_DB!$C$8:$H$8,0)+1)</f>
        <v>Shear force</v>
      </c>
      <c r="E168" s="291">
        <f>$G$160*$E$119/2/10^3</f>
        <v>8.1000000000000014</v>
      </c>
      <c r="F168" s="285" t="s">
        <v>101</v>
      </c>
      <c r="H168" s="285" t="str" cm="1">
        <f t="array" ref="H168">INDEX(LEN_REPORT[],55,MATCH(CONDITIONS!$E$3,Len_DB!$C$8:$H$8,0)+1)</f>
        <v>Shear force</v>
      </c>
      <c r="K168" s="291">
        <f>$G$161*$E$119/2/10^3</f>
        <v>15.300000000000002</v>
      </c>
      <c r="L168" s="285" t="s">
        <v>101</v>
      </c>
    </row>
    <row r="169" spans="2:12" ht="7.5" customHeight="1" x14ac:dyDescent="0.25">
      <c r="H169" s="282"/>
    </row>
    <row r="170" spans="2:12" ht="15" x14ac:dyDescent="0.25">
      <c r="B170" s="319" t="str" cm="1">
        <f t="array" ref="B170">INDEX(LEN_REPORT[],56,MATCH(CONDITIONS!$E$3,Len_DB!$C$8:$H$8,0)+1)</f>
        <v>Elements stiffness at support (t = 0)</v>
      </c>
      <c r="C170" s="319"/>
      <c r="D170" s="319"/>
      <c r="E170" s="319"/>
      <c r="F170" s="319"/>
      <c r="G170" s="319"/>
      <c r="H170" s="319"/>
      <c r="I170" s="319"/>
      <c r="J170" s="319"/>
      <c r="K170" s="319"/>
      <c r="L170" s="319"/>
    </row>
    <row r="171" spans="2:12" ht="3.75" customHeight="1" x14ac:dyDescent="0.25"/>
    <row r="172" spans="2:12" s="239" customFormat="1" ht="12.75" x14ac:dyDescent="0.25">
      <c r="B172" s="320" t="str" cm="1">
        <f t="array" ref="B172">INDEX(LEN_REPORT[],27,MATCH(CONDITIONS!$E$3,Len_DB!$C$8:$H$8,0)+1)</f>
        <v>(1) Slab</v>
      </c>
      <c r="C172" s="320"/>
      <c r="D172" s="320"/>
      <c r="E172" s="320"/>
      <c r="F172" s="320"/>
      <c r="H172" s="320" t="str" cm="1">
        <f t="array" ref="H172">INDEX(LEN_REPORT[],30,MATCH(CONDITIONS!$E$3,Len_DB!$C$8:$H$8,0)+1)</f>
        <v>(2) Rib beam</v>
      </c>
      <c r="I172" s="320"/>
      <c r="J172" s="320"/>
      <c r="K172" s="320"/>
      <c r="L172" s="320"/>
    </row>
    <row r="173" spans="2:12" s="239" customFormat="1" ht="7.5" customHeight="1" x14ac:dyDescent="0.25"/>
    <row r="174" spans="2:12" ht="15" x14ac:dyDescent="0.25">
      <c r="B174" s="285" t="str" cm="1">
        <f t="array" ref="B174">INDEX(LEN_REPORT[],57,MATCH(CONDITIONS!$E$3,Len_DB!$C$8:$H$8,0)+1)</f>
        <v>Bending stiffness</v>
      </c>
      <c r="C174" s="315" t="s">
        <v>1068</v>
      </c>
      <c r="D174" s="315"/>
      <c r="E174" s="290">
        <f>C80*E45</f>
        <v>282731673727.9632</v>
      </c>
      <c r="F174" s="285" t="s">
        <v>955</v>
      </c>
      <c r="H174" s="285" t="str" cm="1">
        <f t="array" ref="H174">INDEX(LEN_REPORT[],57,MATCH(CONDITIONS!$E$3,Len_DB!$C$8:$H$8,0)+1)</f>
        <v>Bending stiffness</v>
      </c>
      <c r="I174" s="315" t="s">
        <v>1070</v>
      </c>
      <c r="J174" s="315"/>
      <c r="K174" s="290">
        <f>C102*K117*K116^3/12</f>
        <v>2526550000000</v>
      </c>
      <c r="L174" s="285" t="s">
        <v>955</v>
      </c>
    </row>
    <row r="175" spans="2:12" x14ac:dyDescent="0.25">
      <c r="B175" s="285" t="str" cm="1">
        <f t="array" ref="B175">INDEX(LEN_REPORT[],58,MATCH(CONDITIONS!$E$3,Len_DB!$C$8:$H$8,0)+1)</f>
        <v>Axial stiffness</v>
      </c>
      <c r="C175" s="315" t="s">
        <v>1069</v>
      </c>
      <c r="D175" s="315"/>
      <c r="E175" s="290">
        <f>C80*E46</f>
        <v>403902391.03994733</v>
      </c>
      <c r="F175" s="285" t="s">
        <v>4</v>
      </c>
      <c r="H175" s="285" t="str" cm="1">
        <f t="array" ref="H175">INDEX(LEN_REPORT[],58,MATCH(CONDITIONS!$E$3,Len_DB!$C$8:$H$8,0)+1)</f>
        <v>Axial stiffness</v>
      </c>
      <c r="I175" s="315" t="s">
        <v>1071</v>
      </c>
      <c r="J175" s="315"/>
      <c r="K175" s="290">
        <f>C102*K116*K117</f>
        <v>448500000</v>
      </c>
      <c r="L175" s="285" t="s">
        <v>4</v>
      </c>
    </row>
    <row r="176" spans="2:12" ht="3.75" customHeight="1" x14ac:dyDescent="0.25"/>
    <row r="177" spans="2:12" s="239" customFormat="1" ht="15" x14ac:dyDescent="0.25">
      <c r="B177" s="320" t="str" cm="1">
        <f t="array" ref="B177">INDEX(LEN_REPORT[],60,MATCH(CONDITIONS!$E$3,Len_DB!$C$8:$H$8,0)+1)</f>
        <v>Composite system stiffness</v>
      </c>
      <c r="C177" s="320"/>
      <c r="D177" s="320"/>
      <c r="E177" s="320"/>
      <c r="F177" s="320"/>
      <c r="H177"/>
      <c r="I177"/>
      <c r="J177"/>
      <c r="K177"/>
      <c r="L177"/>
    </row>
    <row r="178" spans="2:12" s="239" customFormat="1" ht="7.5" customHeight="1" x14ac:dyDescent="0.25"/>
    <row r="179" spans="2:12" ht="25.5" x14ac:dyDescent="0.25">
      <c r="B179" s="288" t="str" cm="1">
        <f t="array" ref="B179">INDEX(LEN_REPORT[],61,MATCH(CONDITIONS!$E$3,Len_DB!$C$8:$H$8,0)+1)</f>
        <v>Composite bending stiffness</v>
      </c>
      <c r="C179" s="301"/>
      <c r="D179" s="301"/>
      <c r="E179" s="290">
        <f>K174+E174</f>
        <v>2809281673727.9634</v>
      </c>
      <c r="F179" s="285" t="s">
        <v>955</v>
      </c>
    </row>
    <row r="180" spans="2:12" ht="25.5" x14ac:dyDescent="0.25">
      <c r="B180" s="288" t="str" cm="1">
        <f t="array" ref="B180">INDEX(LEN_REPORT[],62,MATCH(CONDITIONS!$E$3,Len_DB!$C$8:$H$8,0)+1)</f>
        <v>Composite axial stiffness</v>
      </c>
      <c r="C180" s="301"/>
      <c r="D180" s="301"/>
      <c r="E180" s="290">
        <f>(K175*E175)/(K175+E175)</f>
        <v>212517262.13532746</v>
      </c>
      <c r="F180" s="285" t="s">
        <v>4</v>
      </c>
    </row>
    <row r="181" spans="2:12" ht="7.5" customHeight="1" x14ac:dyDescent="0.25"/>
    <row r="182" spans="2:12" ht="51" x14ac:dyDescent="0.25">
      <c r="B182" s="288" t="str" cm="1">
        <f t="array" ref="B182">INDEX(LEN_REPORT[],63,MATCH(CONDITIONS!$E$3,Len_DB!$C$8:$H$8,0)+1)</f>
        <v>Distance between centres of mass of (1) and (2)</v>
      </c>
      <c r="E182" s="292">
        <f>E116/2+K116/2</f>
        <v>170</v>
      </c>
      <c r="F182" s="285" t="s">
        <v>65</v>
      </c>
    </row>
    <row r="183" spans="2:12" ht="7.5" customHeight="1" x14ac:dyDescent="0.25"/>
    <row r="184" spans="2:12" x14ac:dyDescent="0.25">
      <c r="B184" s="285" t="str" cm="1">
        <f t="array" ref="B184">INDEX(LEN_REPORT[],57,MATCH(CONDITIONS!$E$3,Len_DB!$C$8:$H$8,0)+1)</f>
        <v>Bending stiffness</v>
      </c>
    </row>
    <row r="185" spans="2:12" ht="28.5" customHeight="1" x14ac:dyDescent="0.25">
      <c r="C185" s="315"/>
      <c r="D185" s="315"/>
      <c r="E185" s="290">
        <f>E179+E180*E182^2</f>
        <v>8951030549438.9277</v>
      </c>
      <c r="F185" s="285" t="s">
        <v>955</v>
      </c>
    </row>
    <row r="186" spans="2:12" ht="7.5" customHeight="1" x14ac:dyDescent="0.25"/>
    <row r="187" spans="2:12" s="239" customFormat="1" ht="15" x14ac:dyDescent="0.25">
      <c r="B187" s="320" t="str" cm="1">
        <f t="array" ref="B187">INDEX(LEN_REPORT[],64,MATCH(CONDITIONS!$E$3,Len_DB!$C$8:$H$8,0)+1)</f>
        <v>Composite system effective stiffness</v>
      </c>
      <c r="C187" s="320"/>
      <c r="D187" s="320"/>
      <c r="E187" s="320"/>
      <c r="F187" s="320"/>
      <c r="H187"/>
      <c r="I187"/>
      <c r="J187"/>
      <c r="K187"/>
      <c r="L187"/>
    </row>
    <row r="188" spans="2:12" s="239" customFormat="1" ht="7.5" customHeight="1" x14ac:dyDescent="0.25"/>
    <row r="189" spans="2:12" ht="37.5" customHeight="1" x14ac:dyDescent="0.25">
      <c r="E189" s="293">
        <f>(1+3.14^2*E175*E143/E142/E119^2)^-1</f>
        <v>0.59142390615638663</v>
      </c>
      <c r="H189" s="366"/>
      <c r="I189" s="366"/>
      <c r="J189" s="366"/>
      <c r="K189" s="366"/>
      <c r="L189" s="366"/>
    </row>
    <row r="190" spans="2:12" ht="7.5" customHeight="1" x14ac:dyDescent="0.25">
      <c r="H190" s="366"/>
      <c r="I190" s="366"/>
      <c r="J190" s="366"/>
      <c r="K190" s="366"/>
      <c r="L190" s="366"/>
    </row>
    <row r="191" spans="2:12" ht="37.5" customHeight="1" x14ac:dyDescent="0.25">
      <c r="E191" s="293">
        <f>(E189*E175*E182)/(E189*E175+K175)</f>
        <v>59.07842242013902</v>
      </c>
      <c r="F191" s="285" t="s">
        <v>65</v>
      </c>
      <c r="H191" s="366"/>
      <c r="I191" s="366"/>
      <c r="J191" s="366"/>
      <c r="K191" s="366"/>
      <c r="L191" s="366"/>
    </row>
    <row r="192" spans="2:12" ht="7.5" customHeight="1" x14ac:dyDescent="0.25">
      <c r="H192" s="366"/>
      <c r="I192" s="366"/>
      <c r="J192" s="366"/>
      <c r="K192" s="366"/>
      <c r="L192" s="366"/>
    </row>
    <row r="193" spans="2:12" x14ac:dyDescent="0.25">
      <c r="C193" s="315" t="s">
        <v>1080</v>
      </c>
      <c r="D193" s="315"/>
      <c r="E193" s="293">
        <f>E182-E191</f>
        <v>110.92157757986098</v>
      </c>
      <c r="F193" s="285" t="s">
        <v>65</v>
      </c>
      <c r="H193" s="366"/>
      <c r="I193" s="366"/>
      <c r="J193" s="366"/>
      <c r="K193" s="366"/>
      <c r="L193" s="366"/>
    </row>
    <row r="194" spans="2:12" ht="7.5" customHeight="1" x14ac:dyDescent="0.25">
      <c r="H194" s="366"/>
      <c r="I194" s="366"/>
      <c r="J194" s="366"/>
      <c r="K194" s="366"/>
      <c r="L194" s="366"/>
    </row>
    <row r="195" spans="2:12" ht="28.5" customHeight="1" x14ac:dyDescent="0.25">
      <c r="B195"/>
      <c r="C195"/>
      <c r="D195"/>
      <c r="E195" s="294">
        <f>E174+K174+K175*E191^2+E175*E193^2*E189</f>
        <v>7313715991151.4629</v>
      </c>
      <c r="F195" s="285" t="s">
        <v>955</v>
      </c>
      <c r="G195"/>
      <c r="H195" s="366"/>
      <c r="I195" s="366"/>
      <c r="J195" s="366"/>
      <c r="K195" s="366"/>
      <c r="L195" s="366"/>
    </row>
    <row r="196" spans="2:12" ht="15" x14ac:dyDescent="0.25">
      <c r="B196"/>
      <c r="C196"/>
      <c r="D196"/>
      <c r="E196"/>
      <c r="F196"/>
      <c r="G196"/>
    </row>
    <row r="197" spans="2:12" ht="15" x14ac:dyDescent="0.25">
      <c r="B197" t="str" cm="1">
        <f t="array" ref="B197">INDEX(LEN_REPORT[],65,MATCH(CONDITIONS!$E$3,Len_DB!$C$8:$H$8,0)+1)</f>
        <v>Composite system efficency</v>
      </c>
      <c r="C197"/>
      <c r="D197"/>
      <c r="E197"/>
      <c r="F197"/>
      <c r="G197"/>
      <c r="H197" s="320" t="str" cm="1">
        <f t="array" ref="H197">INDEX(LEN_REPORT[],66,MATCH(CONDITIONS!$E$3,Len_DB!$C$8:$H$8,0)+1)</f>
        <v>Connection stiffness</v>
      </c>
      <c r="I197" s="320"/>
      <c r="J197" s="320"/>
      <c r="K197" s="320"/>
      <c r="L197" s="320"/>
    </row>
    <row r="198" spans="2:12" ht="7.5" customHeight="1" x14ac:dyDescent="0.25">
      <c r="B198"/>
      <c r="C198"/>
      <c r="D198"/>
      <c r="E198"/>
      <c r="F198"/>
      <c r="G198"/>
    </row>
    <row r="199" spans="2:12" ht="30" customHeight="1" x14ac:dyDescent="0.25">
      <c r="B199"/>
      <c r="C199"/>
      <c r="D199"/>
      <c r="E199" s="295">
        <f>(E195-E179)/(E185-E179)</f>
        <v>0.73341232417322988</v>
      </c>
      <c r="F199"/>
      <c r="G199"/>
      <c r="I199" s="370" t="s">
        <v>1082</v>
      </c>
      <c r="J199" s="370"/>
      <c r="K199" s="300">
        <f>$E$142</f>
        <v>160125</v>
      </c>
      <c r="L199" s="299" t="s">
        <v>78</v>
      </c>
    </row>
    <row r="200" spans="2:12" ht="15" x14ac:dyDescent="0.25">
      <c r="B200"/>
      <c r="C200"/>
      <c r="D200"/>
      <c r="E200"/>
      <c r="F200"/>
      <c r="G200"/>
      <c r="H200"/>
    </row>
    <row r="201" spans="2:12" ht="15" x14ac:dyDescent="0.25">
      <c r="B201"/>
      <c r="C201"/>
      <c r="D201"/>
      <c r="E201"/>
      <c r="F201"/>
      <c r="G201"/>
      <c r="H201"/>
    </row>
    <row r="202" spans="2:12" ht="15" x14ac:dyDescent="0.25">
      <c r="B202"/>
      <c r="C202"/>
      <c r="D202"/>
      <c r="E202"/>
      <c r="F202"/>
      <c r="G202"/>
      <c r="H202"/>
    </row>
    <row r="203" spans="2:12" ht="15" x14ac:dyDescent="0.25">
      <c r="B203" s="319" t="str" cm="1">
        <f t="array" ref="B203">INDEX(LEN_REPORT[],59,MATCH(CONDITIONS!$E$3,Len_DB!$C$8:$H$8,0)+1)</f>
        <v>Elements stiffness at support at ULS  [g] (t = ∞)</v>
      </c>
      <c r="C203" s="319"/>
      <c r="D203" s="319"/>
      <c r="E203" s="319"/>
      <c r="F203" s="319"/>
      <c r="G203" s="319"/>
      <c r="H203" s="319"/>
      <c r="I203" s="319"/>
      <c r="J203" s="319"/>
      <c r="K203" s="319"/>
      <c r="L203" s="319"/>
    </row>
    <row r="204" spans="2:12" ht="3.75" customHeight="1" x14ac:dyDescent="0.25"/>
    <row r="205" spans="2:12" x14ac:dyDescent="0.25">
      <c r="B205" s="320" t="str" cm="1">
        <f t="array" ref="B205">INDEX(LEN_REPORT[],27,MATCH(CONDITIONS!$E$3,Len_DB!$C$8:$H$8,0)+1)</f>
        <v>(1) Slab</v>
      </c>
      <c r="C205" s="320"/>
      <c r="D205" s="320"/>
      <c r="E205" s="320"/>
      <c r="F205" s="320"/>
      <c r="G205" s="239"/>
      <c r="H205" s="320" t="str" cm="1">
        <f t="array" ref="H205">INDEX(LEN_REPORT[],30,MATCH(CONDITIONS!$E$3,Len_DB!$C$8:$H$8,0)+1)</f>
        <v>(2) Rib beam</v>
      </c>
      <c r="I205" s="320"/>
      <c r="J205" s="320"/>
      <c r="K205" s="320"/>
      <c r="L205" s="320"/>
    </row>
    <row r="206" spans="2:12" ht="7.5" customHeight="1" x14ac:dyDescent="0.25">
      <c r="B206" s="239"/>
      <c r="C206" s="239"/>
      <c r="D206" s="239"/>
      <c r="E206" s="239"/>
      <c r="F206" s="239"/>
      <c r="G206" s="239"/>
      <c r="H206" s="239"/>
      <c r="I206" s="239"/>
      <c r="J206" s="239"/>
      <c r="K206" s="239"/>
      <c r="L206" s="239"/>
    </row>
    <row r="207" spans="2:12" x14ac:dyDescent="0.25">
      <c r="C207" s="368" t="s">
        <v>1081</v>
      </c>
      <c r="D207" s="315"/>
      <c r="E207" s="298">
        <v>1</v>
      </c>
      <c r="I207" s="368" t="s">
        <v>1081</v>
      </c>
      <c r="J207" s="315"/>
      <c r="K207" s="298">
        <v>1</v>
      </c>
    </row>
    <row r="208" spans="2:12" ht="28.5" customHeight="1" x14ac:dyDescent="0.25">
      <c r="E208" s="298">
        <f>$C$80/(1+E207*$E$150)</f>
        <v>6508.875739644971</v>
      </c>
      <c r="F208" s="299" t="s">
        <v>141</v>
      </c>
      <c r="K208" s="298">
        <f>$C$102/(1+$E$150*E207)</f>
        <v>6804.7337278106515</v>
      </c>
      <c r="L208" s="299" t="s">
        <v>141</v>
      </c>
    </row>
    <row r="209" spans="2:12" ht="7.5" customHeight="1" x14ac:dyDescent="0.25"/>
    <row r="210" spans="2:12" ht="15" x14ac:dyDescent="0.25">
      <c r="B210" s="285" t="str" cm="1">
        <f t="array" ref="B210">INDEX(LEN_REPORT[],57,MATCH(CONDITIONS!$E$3,Len_DB!$C$8:$H$8,0)+1)</f>
        <v>Bending stiffness</v>
      </c>
      <c r="C210" s="315" t="s">
        <v>1068</v>
      </c>
      <c r="D210" s="315"/>
      <c r="E210" s="300">
        <f>E208*E45</f>
        <v>167296848359.74155</v>
      </c>
      <c r="F210" s="285" t="s">
        <v>955</v>
      </c>
      <c r="H210" s="285" t="str" cm="1">
        <f t="array" ref="H210">INDEX(LEN_REPORT[],57,MATCH(CONDITIONS!$E$3,Len_DB!$C$8:$H$8,0)+1)</f>
        <v>Bending stiffness</v>
      </c>
      <c r="I210" s="315" t="s">
        <v>1070</v>
      </c>
      <c r="J210" s="315"/>
      <c r="K210" s="300">
        <f>K208*$K$116^3*$K$117/12</f>
        <v>1495000000000.0002</v>
      </c>
      <c r="L210" s="285" t="s">
        <v>955</v>
      </c>
    </row>
    <row r="211" spans="2:12" x14ac:dyDescent="0.25">
      <c r="B211" s="285" t="str" cm="1">
        <f t="array" ref="B211">INDEX(LEN_REPORT[],58,MATCH(CONDITIONS!$E$3,Len_DB!$C$8:$H$8,0)+1)</f>
        <v>Axial stiffness</v>
      </c>
      <c r="C211" s="315" t="s">
        <v>1069</v>
      </c>
      <c r="D211" s="315"/>
      <c r="E211" s="300">
        <f>E208*E46</f>
        <v>238995497.6567736</v>
      </c>
      <c r="F211" s="285" t="s">
        <v>4</v>
      </c>
      <c r="H211" s="285" t="str" cm="1">
        <f t="array" ref="H211">INDEX(LEN_REPORT[],58,MATCH(CONDITIONS!$E$3,Len_DB!$C$8:$H$8,0)+1)</f>
        <v>Axial stiffness</v>
      </c>
      <c r="I211" s="315" t="s">
        <v>1071</v>
      </c>
      <c r="J211" s="315"/>
      <c r="K211" s="300">
        <f>K208*$K$116*$K$117</f>
        <v>265384615.38461542</v>
      </c>
      <c r="L211" s="285" t="s">
        <v>4</v>
      </c>
    </row>
    <row r="212" spans="2:12" ht="7.5" customHeight="1" x14ac:dyDescent="0.25"/>
    <row r="213" spans="2:12" x14ac:dyDescent="0.25">
      <c r="B213" s="320" t="str" cm="1">
        <f t="array" ref="B213">INDEX(LEN_REPORT[],64,MATCH(CONDITIONS!$E$3,Len_DB!$C$8:$H$8,0)+1)</f>
        <v>Composite system effective stiffness</v>
      </c>
      <c r="C213" s="320"/>
      <c r="D213" s="320"/>
      <c r="E213" s="320"/>
      <c r="F213" s="320"/>
    </row>
    <row r="214" spans="2:12" ht="7.5" customHeight="1" x14ac:dyDescent="0.25"/>
    <row r="215" spans="2:12" ht="25.5" x14ac:dyDescent="0.25">
      <c r="B215" s="288" t="str" cm="1">
        <f t="array" ref="B215">INDEX(LEN_REPORT[],61,MATCH(CONDITIONS!$E$3,Len_DB!$C$8:$H$8,0)+1)</f>
        <v>Composite bending stiffness</v>
      </c>
      <c r="C215" s="301"/>
      <c r="D215" s="301"/>
      <c r="E215" s="300">
        <f>K210+E210</f>
        <v>1662296848359.7417</v>
      </c>
      <c r="F215" s="285" t="s">
        <v>955</v>
      </c>
    </row>
    <row r="216" spans="2:12" ht="25.5" x14ac:dyDescent="0.25">
      <c r="B216" s="288" t="str" cm="1">
        <f t="array" ref="B216">INDEX(LEN_REPORT[],62,MATCH(CONDITIONS!$E$3,Len_DB!$C$8:$H$8,0)+1)</f>
        <v>Composite axial stiffness</v>
      </c>
      <c r="C216" s="301"/>
      <c r="D216" s="301"/>
      <c r="E216" s="300">
        <f>(K211*E211)/(K211+E211)</f>
        <v>125749859.25167307</v>
      </c>
      <c r="F216" s="285" t="s">
        <v>4</v>
      </c>
    </row>
    <row r="217" spans="2:12" ht="7.5" customHeight="1" x14ac:dyDescent="0.25"/>
    <row r="218" spans="2:12" ht="51" x14ac:dyDescent="0.25">
      <c r="B218" s="288" t="str" cm="1">
        <f t="array" ref="B218">INDEX(LEN_REPORT[],63,MATCH(CONDITIONS!$E$3,Len_DB!$C$8:$H$8,0)+1)</f>
        <v>Distance between centres of mass of (1) and (2)</v>
      </c>
      <c r="E218" s="303">
        <f>E182</f>
        <v>170</v>
      </c>
      <c r="F218" s="285" t="s">
        <v>65</v>
      </c>
    </row>
    <row r="219" spans="2:12" ht="7.5" customHeight="1" x14ac:dyDescent="0.25"/>
    <row r="220" spans="2:12" x14ac:dyDescent="0.25">
      <c r="B220" s="285" t="str" cm="1">
        <f t="array" ref="B220">INDEX(LEN_REPORT[],57,MATCH(CONDITIONS!$E$3,Len_DB!$C$8:$H$8,0)+1)</f>
        <v>Bending stiffness</v>
      </c>
    </row>
    <row r="221" spans="2:12" ht="28.5" customHeight="1" x14ac:dyDescent="0.25">
      <c r="C221" s="315"/>
      <c r="D221" s="315"/>
      <c r="E221" s="300">
        <f>E215+E216*E218^2</f>
        <v>5296467780733.0938</v>
      </c>
      <c r="F221" s="285" t="s">
        <v>955</v>
      </c>
    </row>
    <row r="222" spans="2:12" ht="37.5" customHeight="1" x14ac:dyDescent="0.25">
      <c r="E222" s="302">
        <f>(1+3.14^2*E211*$E$143/E236/$E$119^2)^-1</f>
        <v>0.59142390615638663</v>
      </c>
    </row>
    <row r="223" spans="2:12" ht="7.5" customHeight="1" x14ac:dyDescent="0.25"/>
    <row r="224" spans="2:12" ht="37.5" customHeight="1" x14ac:dyDescent="0.25">
      <c r="E224" s="303">
        <f>(E222*E211*E218)/(E222*E211+K211)</f>
        <v>59.078422420139013</v>
      </c>
      <c r="F224" s="285" t="s">
        <v>65</v>
      </c>
    </row>
    <row r="225" spans="2:12" ht="7.5" customHeight="1" x14ac:dyDescent="0.25"/>
    <row r="226" spans="2:12" x14ac:dyDescent="0.25">
      <c r="C226" s="315" t="s">
        <v>1080</v>
      </c>
      <c r="D226" s="315"/>
      <c r="E226" s="303">
        <f>E218-E224</f>
        <v>110.92157757986098</v>
      </c>
      <c r="F226" s="285" t="s">
        <v>65</v>
      </c>
    </row>
    <row r="227" spans="2:12" ht="7.5" customHeight="1" x14ac:dyDescent="0.25"/>
    <row r="228" spans="2:12" ht="28.5" customHeight="1" x14ac:dyDescent="0.25">
      <c r="B228"/>
      <c r="C228"/>
      <c r="D228"/>
      <c r="E228" s="300">
        <f>E210+K210+K211*E224^2+E211*E226^2*E222</f>
        <v>4327642598314.4751</v>
      </c>
      <c r="F228" s="285" t="s">
        <v>955</v>
      </c>
      <c r="G228"/>
    </row>
    <row r="229" spans="2:12" ht="15" x14ac:dyDescent="0.25">
      <c r="B229"/>
      <c r="C229"/>
      <c r="D229"/>
      <c r="E229"/>
      <c r="F229"/>
      <c r="G229"/>
    </row>
    <row r="230" spans="2:12" ht="15" x14ac:dyDescent="0.25">
      <c r="B230" t="str" cm="1">
        <f t="array" ref="B230">INDEX(LEN_REPORT[],65,MATCH(CONDITIONS!$E$3,Len_DB!$C$8:$H$8,0)+1)</f>
        <v>Composite system efficency</v>
      </c>
      <c r="C230"/>
      <c r="D230"/>
      <c r="E230"/>
      <c r="F230"/>
      <c r="G230"/>
    </row>
    <row r="231" spans="2:12" ht="7.5" customHeight="1" x14ac:dyDescent="0.25">
      <c r="B231"/>
      <c r="C231"/>
      <c r="D231"/>
      <c r="E231"/>
      <c r="F231"/>
      <c r="G231"/>
    </row>
    <row r="232" spans="2:12" ht="30" customHeight="1" x14ac:dyDescent="0.25">
      <c r="B232"/>
      <c r="C232"/>
      <c r="D232"/>
      <c r="E232" s="295">
        <f>(E228-E215)/(E221-E215)</f>
        <v>0.73341232417322977</v>
      </c>
      <c r="F232"/>
      <c r="G232"/>
    </row>
    <row r="233" spans="2:12" ht="7.5" customHeight="1" x14ac:dyDescent="0.25">
      <c r="B233"/>
      <c r="C233"/>
      <c r="D233"/>
      <c r="E233" s="295"/>
      <c r="F233"/>
      <c r="G233"/>
    </row>
    <row r="234" spans="2:12" ht="15" x14ac:dyDescent="0.25">
      <c r="B234" s="320" t="str" cm="1">
        <f t="array" ref="B234">INDEX(LEN_REPORT[],66,MATCH(CONDITIONS!$E$3,Len_DB!$C$8:$H$8,0)+1)</f>
        <v>Connection stiffness</v>
      </c>
      <c r="C234" s="320"/>
      <c r="D234" s="320"/>
      <c r="E234" s="320"/>
      <c r="F234" s="320"/>
      <c r="G234"/>
      <c r="H234"/>
      <c r="I234"/>
      <c r="J234"/>
      <c r="K234"/>
      <c r="L234"/>
    </row>
    <row r="235" spans="2:12" ht="3.75" customHeight="1" x14ac:dyDescent="0.25"/>
    <row r="236" spans="2:12" ht="28.5" customHeight="1" x14ac:dyDescent="0.25">
      <c r="E236" s="300">
        <f>$E$142/(1+$E$150*E207)</f>
        <v>94748.52071005918</v>
      </c>
      <c r="F236" s="299" t="s">
        <v>78</v>
      </c>
    </row>
    <row r="237" spans="2:12" ht="305.25" customHeight="1" x14ac:dyDescent="0.25">
      <c r="B237"/>
      <c r="C237"/>
      <c r="D237"/>
      <c r="E237"/>
      <c r="F237"/>
      <c r="G237"/>
      <c r="H237"/>
    </row>
    <row r="238" spans="2:12" ht="15" x14ac:dyDescent="0.25">
      <c r="B238"/>
      <c r="C238"/>
      <c r="D238"/>
      <c r="E238"/>
      <c r="F238"/>
      <c r="G238"/>
      <c r="H238"/>
    </row>
    <row r="239" spans="2:12" ht="15" x14ac:dyDescent="0.25">
      <c r="B239" s="319" t="str" cm="1">
        <f t="array" ref="B239">INDEX(LEN_REPORT[],67,MATCH(CONDITIONS!$E$3,Len_DB!$C$8:$H$8,0)+1)</f>
        <v>Elements stiffness at support at ULS [g+q] (t = ∞)</v>
      </c>
      <c r="C239" s="319"/>
      <c r="D239" s="319"/>
      <c r="E239" s="319"/>
      <c r="F239" s="319"/>
      <c r="G239" s="319"/>
      <c r="H239" s="319"/>
      <c r="I239" s="319"/>
      <c r="J239" s="319"/>
      <c r="K239" s="319"/>
      <c r="L239" s="319"/>
    </row>
    <row r="240" spans="2:12" ht="3.75" customHeight="1" x14ac:dyDescent="0.25"/>
    <row r="241" spans="2:12" x14ac:dyDescent="0.25">
      <c r="B241" s="320" t="str" cm="1">
        <f t="array" ref="B241">INDEX(LEN_REPORT[],27,MATCH(CONDITIONS!$E$3,Len_DB!$C$8:$H$8,0)+1)</f>
        <v>(1) Slab</v>
      </c>
      <c r="C241" s="320"/>
      <c r="D241" s="320"/>
      <c r="E241" s="320"/>
      <c r="F241" s="320"/>
      <c r="G241" s="239"/>
      <c r="H241" s="320" t="str" cm="1">
        <f t="array" ref="H241">INDEX(LEN_REPORT[],30,MATCH(CONDITIONS!$E$3,Len_DB!$C$8:$H$8,0)+1)</f>
        <v>(2) Rib beam</v>
      </c>
      <c r="I241" s="320"/>
      <c r="J241" s="320"/>
      <c r="K241" s="320"/>
      <c r="L241" s="320"/>
    </row>
    <row r="242" spans="2:12" ht="7.5" customHeight="1" x14ac:dyDescent="0.25">
      <c r="B242" s="239"/>
      <c r="C242" s="239"/>
      <c r="D242" s="239"/>
      <c r="E242" s="239"/>
      <c r="F242" s="239"/>
      <c r="G242" s="239"/>
      <c r="H242" s="239"/>
      <c r="I242" s="239"/>
      <c r="J242" s="239"/>
      <c r="K242" s="239"/>
      <c r="L242" s="239"/>
    </row>
    <row r="243" spans="2:12" x14ac:dyDescent="0.25">
      <c r="C243" s="368" t="s">
        <v>1081</v>
      </c>
      <c r="D243" s="315"/>
      <c r="E243" s="298">
        <f>E52</f>
        <v>0.3</v>
      </c>
      <c r="I243" s="368" t="s">
        <v>1081</v>
      </c>
      <c r="J243" s="315"/>
      <c r="K243" s="298">
        <f>E243</f>
        <v>0.3</v>
      </c>
    </row>
    <row r="244" spans="2:12" ht="28.5" customHeight="1" x14ac:dyDescent="0.25">
      <c r="E244" s="298">
        <f>$C$80/(1+E243*$E$150)</f>
        <v>9113.5045567522775</v>
      </c>
      <c r="F244" s="299" t="s">
        <v>141</v>
      </c>
      <c r="K244" s="298">
        <f>$C$102/(1+$E$150*K243)</f>
        <v>9527.7547638773813</v>
      </c>
      <c r="L244" s="299" t="s">
        <v>141</v>
      </c>
    </row>
    <row r="245" spans="2:12" ht="7.5" customHeight="1" x14ac:dyDescent="0.25"/>
    <row r="246" spans="2:12" ht="15" x14ac:dyDescent="0.25">
      <c r="B246" s="285" t="str" cm="1">
        <f t="array" ref="B246">INDEX(LEN_REPORT[],57,MATCH(CONDITIONS!$E$3,Len_DB!$C$8:$H$8,0)+1)</f>
        <v>Bending stiffness</v>
      </c>
      <c r="C246" s="315" t="s">
        <v>1068</v>
      </c>
      <c r="D246" s="315"/>
      <c r="E246" s="298">
        <f>E244*E45</f>
        <v>234243308805.27188</v>
      </c>
      <c r="F246" s="285" t="s">
        <v>955</v>
      </c>
      <c r="H246" s="285" t="str" cm="1">
        <f t="array" ref="H246">INDEX(LEN_REPORT[],57,MATCH(CONDITIONS!$E$3,Len_DB!$C$8:$H$8,0)+1)</f>
        <v>Bending stiffness</v>
      </c>
      <c r="I246" s="315" t="s">
        <v>1070</v>
      </c>
      <c r="J246" s="315"/>
      <c r="K246" s="298">
        <f>K244*$K$116^3*$K$117/12</f>
        <v>2093247721623.8606</v>
      </c>
      <c r="L246" s="285" t="s">
        <v>955</v>
      </c>
    </row>
    <row r="247" spans="2:12" x14ac:dyDescent="0.25">
      <c r="B247" s="285" t="str" cm="1">
        <f t="array" ref="B247">INDEX(LEN_REPORT[],58,MATCH(CONDITIONS!$E$3,Len_DB!$C$8:$H$8,0)+1)</f>
        <v>Axial stiffness</v>
      </c>
      <c r="C247" s="315" t="s">
        <v>1069</v>
      </c>
      <c r="D247" s="315"/>
      <c r="E247" s="298">
        <f>E244*E46</f>
        <v>334633298.29324549</v>
      </c>
      <c r="F247" s="285" t="s">
        <v>4</v>
      </c>
      <c r="H247" s="285" t="str" cm="1">
        <f t="array" ref="H247">INDEX(LEN_REPORT[],58,MATCH(CONDITIONS!$E$3,Len_DB!$C$8:$H$8,0)+1)</f>
        <v>Axial stiffness</v>
      </c>
      <c r="I247" s="315" t="s">
        <v>1071</v>
      </c>
      <c r="J247" s="315"/>
      <c r="K247" s="298">
        <f>K244*$K$116*$K$117</f>
        <v>371582435.79121786</v>
      </c>
      <c r="L247" s="285" t="s">
        <v>4</v>
      </c>
    </row>
    <row r="248" spans="2:12" ht="7.5" customHeight="1" x14ac:dyDescent="0.25"/>
    <row r="249" spans="2:12" x14ac:dyDescent="0.25">
      <c r="B249" s="320" t="str" cm="1">
        <f t="array" ref="B249">INDEX(LEN_REPORT[],64,MATCH(CONDITIONS!$E$3,Len_DB!$C$8:$H$8,0)+1)</f>
        <v>Composite system effective stiffness</v>
      </c>
      <c r="C249" s="320"/>
      <c r="D249" s="320"/>
      <c r="E249" s="320"/>
      <c r="F249" s="320"/>
    </row>
    <row r="250" spans="2:12" ht="7.5" customHeight="1" x14ac:dyDescent="0.25"/>
    <row r="251" spans="2:12" ht="25.5" x14ac:dyDescent="0.25">
      <c r="B251" s="288" t="str" cm="1">
        <f t="array" ref="B251">INDEX(LEN_REPORT[],61,MATCH(CONDITIONS!$E$3,Len_DB!$C$8:$H$8,0)+1)</f>
        <v>Composite bending stiffness</v>
      </c>
      <c r="C251" s="301"/>
      <c r="D251" s="301"/>
      <c r="E251" s="298">
        <f>K246+E246</f>
        <v>2327491030429.1323</v>
      </c>
      <c r="F251" s="285" t="s">
        <v>955</v>
      </c>
    </row>
    <row r="252" spans="2:12" ht="25.5" x14ac:dyDescent="0.25">
      <c r="B252" s="288" t="str" cm="1">
        <f t="array" ref="B252">INDEX(LEN_REPORT[],62,MATCH(CONDITIONS!$E$3,Len_DB!$C$8:$H$8,0)+1)</f>
        <v>Composite axial stiffness</v>
      </c>
      <c r="C252" s="301"/>
      <c r="D252" s="301"/>
      <c r="E252" s="298">
        <f>(K247*E247)/(K247+E247)</f>
        <v>176070639.71443862</v>
      </c>
      <c r="F252" s="285" t="s">
        <v>4</v>
      </c>
    </row>
    <row r="253" spans="2:12" ht="7.5" customHeight="1" x14ac:dyDescent="0.25"/>
    <row r="254" spans="2:12" ht="51" x14ac:dyDescent="0.25">
      <c r="B254" s="288" t="str" cm="1">
        <f t="array" ref="B254">INDEX(LEN_REPORT[],63,MATCH(CONDITIONS!$E$3,Len_DB!$C$8:$H$8,0)+1)</f>
        <v>Distance between centres of mass of (1) and (2)</v>
      </c>
      <c r="E254" s="298">
        <f>E182</f>
        <v>170</v>
      </c>
      <c r="F254" s="285" t="s">
        <v>65</v>
      </c>
    </row>
    <row r="255" spans="2:12" ht="7.5" customHeight="1" x14ac:dyDescent="0.25"/>
    <row r="256" spans="2:12" x14ac:dyDescent="0.25">
      <c r="B256" s="285" t="str" cm="1">
        <f t="array" ref="B256">INDEX(LEN_REPORT[],57,MATCH(CONDITIONS!$E$3,Len_DB!$C$8:$H$8,0)+1)</f>
        <v>Bending stiffness</v>
      </c>
    </row>
    <row r="257" spans="2:12" ht="28.5" customHeight="1" x14ac:dyDescent="0.25">
      <c r="C257" s="315"/>
      <c r="D257" s="315"/>
      <c r="E257" s="300" t="e">
        <f>#REF!+#REF!*#REF!^2</f>
        <v>#REF!</v>
      </c>
      <c r="F257" s="285" t="s">
        <v>955</v>
      </c>
    </row>
    <row r="258" spans="2:12" ht="37.5" customHeight="1" x14ac:dyDescent="0.25">
      <c r="E258" s="302" t="e">
        <f>(1+3.14^2*#REF!*$E$143/#REF!/$E$119^2)^-1</f>
        <v>#REF!</v>
      </c>
    </row>
    <row r="259" spans="2:12" ht="7.5" customHeight="1" x14ac:dyDescent="0.25"/>
    <row r="260" spans="2:12" ht="37.5" customHeight="1" x14ac:dyDescent="0.25">
      <c r="E260" s="303" t="e">
        <f>(E258*#REF!*#REF!)/(E258*#REF!+#REF!)</f>
        <v>#REF!</v>
      </c>
      <c r="F260" s="285" t="s">
        <v>65</v>
      </c>
    </row>
    <row r="261" spans="2:12" ht="7.5" customHeight="1" x14ac:dyDescent="0.25"/>
    <row r="262" spans="2:12" x14ac:dyDescent="0.25">
      <c r="C262" s="315" t="s">
        <v>1080</v>
      </c>
      <c r="D262" s="315"/>
      <c r="E262" s="303" t="e">
        <f>#REF!-E260</f>
        <v>#REF!</v>
      </c>
      <c r="F262" s="285" t="s">
        <v>65</v>
      </c>
    </row>
    <row r="263" spans="2:12" ht="7.5" customHeight="1" x14ac:dyDescent="0.25"/>
    <row r="264" spans="2:12" ht="28.5" customHeight="1" x14ac:dyDescent="0.25">
      <c r="B264"/>
      <c r="C264"/>
      <c r="D264"/>
      <c r="E264" s="300" t="e">
        <f>#REF!+#REF!+#REF!*E260^2+#REF!*E262^2*E258</f>
        <v>#REF!</v>
      </c>
      <c r="F264" s="285" t="s">
        <v>955</v>
      </c>
      <c r="G264"/>
    </row>
    <row r="265" spans="2:12" ht="15" x14ac:dyDescent="0.25">
      <c r="B265"/>
      <c r="C265"/>
      <c r="D265"/>
      <c r="E265"/>
      <c r="F265"/>
      <c r="G265"/>
    </row>
    <row r="266" spans="2:12" ht="15" x14ac:dyDescent="0.25">
      <c r="B266" t="str" cm="1">
        <f t="array" ref="B266">INDEX(LEN_REPORT[],65,MATCH(CONDITIONS!$E$3,Len_DB!$C$8:$H$8,0)+1)</f>
        <v>Composite system efficency</v>
      </c>
      <c r="C266"/>
      <c r="D266"/>
      <c r="E266"/>
      <c r="F266"/>
      <c r="G266"/>
    </row>
    <row r="267" spans="2:12" ht="7.5" customHeight="1" x14ac:dyDescent="0.25">
      <c r="B267"/>
      <c r="C267"/>
      <c r="D267"/>
      <c r="E267"/>
      <c r="F267"/>
      <c r="G267"/>
    </row>
    <row r="268" spans="2:12" ht="30" customHeight="1" x14ac:dyDescent="0.25">
      <c r="B268"/>
      <c r="C268"/>
      <c r="D268"/>
      <c r="E268" s="295" t="e">
        <f>(E264-#REF!)/(E257-#REF!)</f>
        <v>#REF!</v>
      </c>
      <c r="F268"/>
      <c r="G268"/>
    </row>
    <row r="269" spans="2:12" ht="7.5" customHeight="1" x14ac:dyDescent="0.25">
      <c r="B269"/>
      <c r="C269"/>
      <c r="D269"/>
      <c r="E269" s="295"/>
      <c r="F269"/>
      <c r="G269"/>
    </row>
    <row r="270" spans="2:12" ht="15" x14ac:dyDescent="0.25">
      <c r="B270" s="320" t="str" cm="1">
        <f t="array" ref="B270">INDEX(LEN_REPORT[],66,MATCH(CONDITIONS!$E$3,Len_DB!$C$8:$H$8,0)+1)</f>
        <v>Connection stiffness</v>
      </c>
      <c r="C270" s="320"/>
      <c r="D270" s="320"/>
      <c r="E270" s="320"/>
      <c r="F270" s="320"/>
      <c r="G270"/>
      <c r="H270"/>
      <c r="I270"/>
      <c r="J270"/>
      <c r="K270"/>
      <c r="L270"/>
    </row>
    <row r="271" spans="2:12" ht="3.75" customHeight="1" x14ac:dyDescent="0.25"/>
    <row r="272" spans="2:12" ht="28.5" customHeight="1" x14ac:dyDescent="0.25">
      <c r="E272" s="300">
        <f>$E$142/(1+$E$150*E243)</f>
        <v>132663.62883181442</v>
      </c>
      <c r="F272" s="299" t="s">
        <v>78</v>
      </c>
    </row>
    <row r="273" spans="2:8" ht="239.25" customHeight="1" x14ac:dyDescent="0.25">
      <c r="B273"/>
      <c r="C273"/>
      <c r="D273"/>
      <c r="E273"/>
      <c r="F273"/>
      <c r="G273"/>
      <c r="H273"/>
    </row>
    <row r="274" spans="2:8" x14ac:dyDescent="0.25"/>
    <row r="275" spans="2:8" x14ac:dyDescent="0.25"/>
    <row r="276" spans="2:8" x14ac:dyDescent="0.25"/>
    <row r="277" spans="2:8" x14ac:dyDescent="0.25">
      <c r="B277" s="229" t="s">
        <v>127</v>
      </c>
    </row>
    <row r="278" spans="2:8" x14ac:dyDescent="0.25"/>
    <row r="279" spans="2:8" x14ac:dyDescent="0.25">
      <c r="B279" s="229" t="s">
        <v>128</v>
      </c>
    </row>
    <row r="280" spans="2:8" x14ac:dyDescent="0.25"/>
    <row r="281" spans="2:8" ht="18" x14ac:dyDescent="0.25">
      <c r="C281" s="229" t="s">
        <v>105</v>
      </c>
      <c r="E281" s="229" t="s">
        <v>954</v>
      </c>
      <c r="F281" s="229" t="s">
        <v>7</v>
      </c>
      <c r="H281" s="229" t="s">
        <v>955</v>
      </c>
    </row>
    <row r="282" spans="2:8" x14ac:dyDescent="0.25"/>
    <row r="283" spans="2:8" ht="18" x14ac:dyDescent="0.25">
      <c r="C283" s="229" t="s">
        <v>108</v>
      </c>
      <c r="E283" s="229" t="s">
        <v>956</v>
      </c>
      <c r="F283" s="229" t="s">
        <v>7</v>
      </c>
      <c r="H283" s="229" t="s">
        <v>4</v>
      </c>
    </row>
    <row r="284" spans="2:8" x14ac:dyDescent="0.25"/>
    <row r="285" spans="2:8" x14ac:dyDescent="0.25">
      <c r="B285" s="229" t="s">
        <v>129</v>
      </c>
    </row>
    <row r="286" spans="2:8" x14ac:dyDescent="0.25"/>
    <row r="287" spans="2:8" ht="18" x14ac:dyDescent="0.25">
      <c r="C287" s="229" t="s">
        <v>105</v>
      </c>
      <c r="E287" s="229" t="s">
        <v>957</v>
      </c>
      <c r="F287" s="229" t="s">
        <v>7</v>
      </c>
      <c r="H287" s="229" t="s">
        <v>955</v>
      </c>
    </row>
    <row r="288" spans="2:8" x14ac:dyDescent="0.25"/>
    <row r="289" spans="2:8" ht="18" x14ac:dyDescent="0.25">
      <c r="C289" s="229" t="s">
        <v>108</v>
      </c>
      <c r="E289" s="229" t="s">
        <v>958</v>
      </c>
      <c r="F289" s="229" t="s">
        <v>7</v>
      </c>
      <c r="H289" s="229" t="s">
        <v>4</v>
      </c>
    </row>
    <row r="290" spans="2:8" x14ac:dyDescent="0.25"/>
    <row r="291" spans="2:8" x14ac:dyDescent="0.25"/>
    <row r="292" spans="2:8" x14ac:dyDescent="0.25">
      <c r="B292" s="229" t="s">
        <v>240</v>
      </c>
    </row>
    <row r="293" spans="2:8" x14ac:dyDescent="0.25"/>
    <row r="294" spans="2:8" ht="18" x14ac:dyDescent="0.25">
      <c r="C294" s="229" t="s">
        <v>105</v>
      </c>
      <c r="E294" s="229" t="s">
        <v>962</v>
      </c>
      <c r="F294" s="229" t="s">
        <v>7</v>
      </c>
      <c r="H294" s="229" t="s">
        <v>955</v>
      </c>
    </row>
    <row r="295" spans="2:8" x14ac:dyDescent="0.25"/>
    <row r="296" spans="2:8" x14ac:dyDescent="0.25"/>
    <row r="297" spans="2:8" ht="18" x14ac:dyDescent="0.25">
      <c r="C297" s="229" t="s">
        <v>108</v>
      </c>
      <c r="E297" s="229" t="s">
        <v>963</v>
      </c>
      <c r="F297" s="229" t="s">
        <v>7</v>
      </c>
      <c r="H297" s="229" t="s">
        <v>4</v>
      </c>
    </row>
    <row r="298" spans="2:8" x14ac:dyDescent="0.25">
      <c r="G298" s="298"/>
    </row>
    <row r="299" spans="2:8" x14ac:dyDescent="0.25">
      <c r="B299" s="229" t="s">
        <v>132</v>
      </c>
      <c r="G299" s="298"/>
    </row>
    <row r="300" spans="2:8" x14ac:dyDescent="0.25">
      <c r="G300" s="298"/>
    </row>
    <row r="301" spans="2:8" x14ac:dyDescent="0.25">
      <c r="E301" s="229" t="s">
        <v>133</v>
      </c>
      <c r="F301" s="229" t="s">
        <v>7</v>
      </c>
      <c r="H301" s="229" t="s">
        <v>65</v>
      </c>
    </row>
    <row r="302" spans="2:8" x14ac:dyDescent="0.25">
      <c r="G302" s="298"/>
    </row>
    <row r="303" spans="2:8" x14ac:dyDescent="0.25">
      <c r="B303" s="229" t="s">
        <v>961</v>
      </c>
      <c r="G303" s="298"/>
    </row>
    <row r="304" spans="2:8" x14ac:dyDescent="0.25">
      <c r="G304" s="298"/>
    </row>
    <row r="305" spans="2:8" x14ac:dyDescent="0.25">
      <c r="G305" s="298"/>
    </row>
    <row r="306" spans="2:8" ht="15" x14ac:dyDescent="0.25">
      <c r="B306" s="229" t="s">
        <v>105</v>
      </c>
      <c r="F306" s="229" t="s">
        <v>7</v>
      </c>
      <c r="G306" s="298">
        <f>E251+E252*E254^2</f>
        <v>7415932518176.4082</v>
      </c>
      <c r="H306" s="229" t="s">
        <v>955</v>
      </c>
    </row>
    <row r="307" spans="2:8" x14ac:dyDescent="0.25">
      <c r="G307" s="298"/>
    </row>
    <row r="308" spans="2:8" x14ac:dyDescent="0.25">
      <c r="G308" s="298"/>
    </row>
    <row r="309" spans="2:8" x14ac:dyDescent="0.25">
      <c r="B309" s="229" t="s">
        <v>118</v>
      </c>
      <c r="G309" s="298"/>
    </row>
    <row r="310" spans="2:8" x14ac:dyDescent="0.25">
      <c r="G310" s="298"/>
    </row>
    <row r="311" spans="2:8" x14ac:dyDescent="0.25">
      <c r="B311" s="229" t="s">
        <v>119</v>
      </c>
      <c r="G311" s="298"/>
    </row>
    <row r="312" spans="2:8" ht="18" x14ac:dyDescent="0.25">
      <c r="E312" s="229" t="s">
        <v>964</v>
      </c>
      <c r="F312" s="229" t="s">
        <v>7</v>
      </c>
      <c r="G312" s="298">
        <f>(1+3.14^2*E247*$E$143/E272/$E$119^2)^-1</f>
        <v>0.59142390615638663</v>
      </c>
    </row>
    <row r="313" spans="2:8" x14ac:dyDescent="0.25">
      <c r="G313" s="298"/>
    </row>
    <row r="314" spans="2:8" x14ac:dyDescent="0.25">
      <c r="G314" s="298"/>
    </row>
    <row r="315" spans="2:8" x14ac:dyDescent="0.25">
      <c r="F315" s="229" t="s">
        <v>7</v>
      </c>
      <c r="G315" s="298">
        <f>(G312*E247*E254)/(G312*E247+K247)</f>
        <v>59.078422420139013</v>
      </c>
      <c r="H315" s="229" t="s">
        <v>65</v>
      </c>
    </row>
    <row r="316" spans="2:8" x14ac:dyDescent="0.25">
      <c r="G316" s="298"/>
    </row>
    <row r="317" spans="2:8" x14ac:dyDescent="0.25">
      <c r="G317" s="298"/>
    </row>
    <row r="318" spans="2:8" x14ac:dyDescent="0.25">
      <c r="F318" s="229" t="s">
        <v>7</v>
      </c>
      <c r="G318" s="298">
        <f>E254-G315</f>
        <v>110.92157757986098</v>
      </c>
      <c r="H318" s="229" t="s">
        <v>65</v>
      </c>
    </row>
    <row r="319" spans="2:8" x14ac:dyDescent="0.25">
      <c r="G319" s="298"/>
    </row>
    <row r="320" spans="2:8" ht="18" x14ac:dyDescent="0.25">
      <c r="E320" s="229" t="s">
        <v>965</v>
      </c>
      <c r="F320" s="229" t="s">
        <v>7</v>
      </c>
      <c r="G320" s="298">
        <f>E246+K246+K247*G315^2+E247*G318^2*G312</f>
        <v>6059416728377.3496</v>
      </c>
      <c r="H320" s="229" t="s">
        <v>955</v>
      </c>
    </row>
    <row r="321" spans="2:7" x14ac:dyDescent="0.25">
      <c r="G321" s="298"/>
    </row>
    <row r="322" spans="2:7" x14ac:dyDescent="0.25">
      <c r="G322" s="298"/>
    </row>
    <row r="323" spans="2:7" x14ac:dyDescent="0.25">
      <c r="G323" s="298"/>
    </row>
    <row r="324" spans="2:7" x14ac:dyDescent="0.25">
      <c r="B324" s="229" t="s">
        <v>121</v>
      </c>
      <c r="G324" s="298"/>
    </row>
    <row r="325" spans="2:7" x14ac:dyDescent="0.25">
      <c r="G325" s="298"/>
    </row>
    <row r="326" spans="2:7" x14ac:dyDescent="0.25">
      <c r="F326" s="229" t="s">
        <v>7</v>
      </c>
      <c r="G326" s="298">
        <f>(G320-E251)/(G306-E251)</f>
        <v>0.73341232417322999</v>
      </c>
    </row>
    <row r="327" spans="2:7" x14ac:dyDescent="0.25">
      <c r="G327" s="298"/>
    </row>
    <row r="328" spans="2:7" x14ac:dyDescent="0.25">
      <c r="G328" s="298"/>
    </row>
    <row r="329" spans="2:7" x14ac:dyDescent="0.25">
      <c r="G329" s="298"/>
    </row>
    <row r="330" spans="2:7" x14ac:dyDescent="0.25">
      <c r="G330" s="298"/>
    </row>
    <row r="331" spans="2:7" x14ac:dyDescent="0.25">
      <c r="B331" s="229" t="s">
        <v>136</v>
      </c>
      <c r="G331" s="298"/>
    </row>
    <row r="332" spans="2:7" x14ac:dyDescent="0.25">
      <c r="G332" s="298"/>
    </row>
    <row r="333" spans="2:7" x14ac:dyDescent="0.25">
      <c r="B333" s="229" t="s">
        <v>137</v>
      </c>
      <c r="G333" s="298"/>
    </row>
    <row r="334" spans="2:7" x14ac:dyDescent="0.25">
      <c r="G334" s="298"/>
    </row>
    <row r="335" spans="2:7" x14ac:dyDescent="0.25">
      <c r="B335" s="229" t="s">
        <v>138</v>
      </c>
      <c r="G335" s="298"/>
    </row>
    <row r="336" spans="2:7" x14ac:dyDescent="0.25">
      <c r="G336" s="298"/>
    </row>
    <row r="337" spans="2:8" x14ac:dyDescent="0.25">
      <c r="G337" s="298"/>
    </row>
    <row r="338" spans="2:8" x14ac:dyDescent="0.25">
      <c r="F338" s="229" t="s">
        <v>7</v>
      </c>
      <c r="G338" s="298">
        <f>E189*E175*E193/E195*K167*10^3</f>
        <v>83.144961273842682</v>
      </c>
      <c r="H338" s="229" t="s">
        <v>101</v>
      </c>
    </row>
    <row r="339" spans="2:8" x14ac:dyDescent="0.25">
      <c r="G339" s="298"/>
    </row>
    <row r="340" spans="2:8" x14ac:dyDescent="0.25">
      <c r="G340" s="298"/>
    </row>
    <row r="341" spans="2:8" x14ac:dyDescent="0.25">
      <c r="B341" s="229" t="s">
        <v>139</v>
      </c>
      <c r="G341" s="298"/>
    </row>
    <row r="342" spans="2:8" x14ac:dyDescent="0.25">
      <c r="G342" s="298"/>
    </row>
    <row r="343" spans="2:8" x14ac:dyDescent="0.25">
      <c r="G343" s="298"/>
    </row>
    <row r="344" spans="2:8" x14ac:dyDescent="0.25">
      <c r="F344" s="229" t="s">
        <v>7</v>
      </c>
      <c r="G344" s="298">
        <f>E174/E195*K167</f>
        <v>0.88719495259415793</v>
      </c>
      <c r="H344" s="229" t="s">
        <v>100</v>
      </c>
    </row>
    <row r="345" spans="2:8" x14ac:dyDescent="0.25">
      <c r="G345" s="298"/>
    </row>
    <row r="346" spans="2:8" x14ac:dyDescent="0.25">
      <c r="G346" s="298"/>
    </row>
    <row r="347" spans="2:8" x14ac:dyDescent="0.25">
      <c r="G347" s="298"/>
    </row>
    <row r="348" spans="2:8" x14ac:dyDescent="0.25">
      <c r="G348" s="298"/>
    </row>
    <row r="349" spans="2:8" x14ac:dyDescent="0.25">
      <c r="B349" s="229" t="s">
        <v>140</v>
      </c>
      <c r="G349" s="298"/>
    </row>
    <row r="350" spans="2:8" x14ac:dyDescent="0.25">
      <c r="G350" s="298"/>
    </row>
    <row r="351" spans="2:8" x14ac:dyDescent="0.25">
      <c r="G351" s="298"/>
    </row>
    <row r="352" spans="2:8" x14ac:dyDescent="0.25">
      <c r="F352" s="229" t="s">
        <v>7</v>
      </c>
      <c r="G352" s="298">
        <f>G338*10^3/E46</f>
        <v>2.2643950476683683</v>
      </c>
      <c r="H352" s="229" t="s">
        <v>141</v>
      </c>
    </row>
    <row r="353" spans="2:8" x14ac:dyDescent="0.25">
      <c r="G353" s="298"/>
    </row>
    <row r="354" spans="2:8" x14ac:dyDescent="0.25">
      <c r="G354" s="298"/>
    </row>
    <row r="355" spans="2:8" x14ac:dyDescent="0.25">
      <c r="F355" s="229" t="s">
        <v>7</v>
      </c>
      <c r="G355" s="298">
        <f>10^6*G344*E116/2/E45</f>
        <v>1.3806934822485752</v>
      </c>
      <c r="H355" s="229" t="s">
        <v>141</v>
      </c>
    </row>
    <row r="356" spans="2:8" x14ac:dyDescent="0.25">
      <c r="G356" s="298"/>
    </row>
    <row r="357" spans="2:8" x14ac:dyDescent="0.25">
      <c r="G357" s="298"/>
    </row>
    <row r="358" spans="2:8" x14ac:dyDescent="0.25">
      <c r="G358" s="298"/>
    </row>
    <row r="359" spans="2:8" x14ac:dyDescent="0.25">
      <c r="B359" s="229" t="s">
        <v>142</v>
      </c>
      <c r="G359" s="298"/>
    </row>
    <row r="360" spans="2:8" x14ac:dyDescent="0.25">
      <c r="G360" s="298"/>
    </row>
    <row r="361" spans="2:8" x14ac:dyDescent="0.25">
      <c r="B361" s="229" t="s">
        <v>143</v>
      </c>
      <c r="G361" s="298"/>
    </row>
    <row r="362" spans="2:8" x14ac:dyDescent="0.25">
      <c r="G362" s="298"/>
    </row>
    <row r="363" spans="2:8" x14ac:dyDescent="0.25">
      <c r="E363" s="229">
        <f>G352/I75+G355/I72</f>
        <v>0.25837067296397853</v>
      </c>
      <c r="F363" s="229" t="str">
        <f>IF(E363&lt;=G363,"≤","&gt;")</f>
        <v>≤</v>
      </c>
      <c r="G363" s="298">
        <v>1</v>
      </c>
      <c r="H363" s="229" t="str">
        <f>IF(E363&lt;G363,"Verifica soddisfatta","Verifica non soddisfatta")</f>
        <v>Verifica soddisfatta</v>
      </c>
    </row>
    <row r="364" spans="2:8" x14ac:dyDescent="0.25">
      <c r="G364" s="298"/>
    </row>
    <row r="365" spans="2:8" x14ac:dyDescent="0.25">
      <c r="G365" s="298"/>
    </row>
    <row r="366" spans="2:8" x14ac:dyDescent="0.25">
      <c r="G366" s="298"/>
    </row>
    <row r="367" spans="2:8" x14ac:dyDescent="0.25">
      <c r="B367" s="229" t="s">
        <v>144</v>
      </c>
      <c r="G367" s="298"/>
    </row>
    <row r="368" spans="2:8" x14ac:dyDescent="0.25">
      <c r="G368" s="298"/>
    </row>
    <row r="369" spans="2:11" x14ac:dyDescent="0.25">
      <c r="G369" s="298"/>
    </row>
    <row r="370" spans="2:11" x14ac:dyDescent="0.25">
      <c r="G370" s="298"/>
    </row>
    <row r="371" spans="2:11" x14ac:dyDescent="0.25">
      <c r="F371" s="229" t="s">
        <v>7</v>
      </c>
      <c r="G371" s="298">
        <f>'Relazione di Calcolo AT SUPPORT'!G512</f>
        <v>0.31183093536840378</v>
      </c>
      <c r="H371" s="229" t="s">
        <v>141</v>
      </c>
    </row>
    <row r="372" spans="2:11" x14ac:dyDescent="0.25">
      <c r="G372" s="298"/>
      <c r="K372" s="229" t="s">
        <v>335</v>
      </c>
    </row>
    <row r="373" spans="2:11" x14ac:dyDescent="0.25">
      <c r="G373" s="298"/>
    </row>
    <row r="374" spans="2:11" x14ac:dyDescent="0.25">
      <c r="G374" s="298"/>
    </row>
    <row r="375" spans="2:11" x14ac:dyDescent="0.25">
      <c r="G375" s="298"/>
    </row>
    <row r="376" spans="2:11" x14ac:dyDescent="0.25">
      <c r="G376" s="298"/>
    </row>
    <row r="377" spans="2:11" x14ac:dyDescent="0.25">
      <c r="C377" s="229">
        <f>G371</f>
        <v>0.31183093536840378</v>
      </c>
      <c r="D377" s="229" t="str">
        <f>IF(C377&lt;=E377,"≤","&gt;")</f>
        <v>≤</v>
      </c>
      <c r="E377" s="229">
        <f>I77</f>
        <v>1.7152000000000001</v>
      </c>
      <c r="F377" s="229" t="str">
        <f>IF(C377&lt;E377,"Verifica soddisfatta","Verifica non soddisfatta")</f>
        <v>Verifica soddisfatta</v>
      </c>
      <c r="G377" s="298"/>
    </row>
    <row r="378" spans="2:11" x14ac:dyDescent="0.25">
      <c r="B378" s="229" t="s">
        <v>408</v>
      </c>
      <c r="G378" s="298"/>
    </row>
    <row r="379" spans="2:11" x14ac:dyDescent="0.25">
      <c r="G379" s="298"/>
    </row>
    <row r="380" spans="2:11" x14ac:dyDescent="0.25">
      <c r="G380" s="298"/>
    </row>
    <row r="381" spans="2:11" x14ac:dyDescent="0.25">
      <c r="G381" s="298"/>
    </row>
    <row r="382" spans="2:11" x14ac:dyDescent="0.25">
      <c r="F382" s="229" t="s">
        <v>7</v>
      </c>
      <c r="G382" s="298">
        <f>'Relazione di Calcolo AT SUPPORT'!G524</f>
        <v>0.15591546768420192</v>
      </c>
      <c r="H382" s="229" t="s">
        <v>141</v>
      </c>
    </row>
    <row r="383" spans="2:11" x14ac:dyDescent="0.25">
      <c r="G383" s="298"/>
      <c r="K383" s="229" t="s">
        <v>335</v>
      </c>
    </row>
    <row r="384" spans="2:11" x14ac:dyDescent="0.25">
      <c r="G384" s="298"/>
    </row>
    <row r="385" spans="1:8" x14ac:dyDescent="0.25">
      <c r="G385" s="298"/>
    </row>
    <row r="386" spans="1:8" x14ac:dyDescent="0.25">
      <c r="G386" s="298"/>
    </row>
    <row r="387" spans="1:8" x14ac:dyDescent="0.25">
      <c r="G387" s="298"/>
    </row>
    <row r="388" spans="1:8" x14ac:dyDescent="0.25">
      <c r="G388" s="298"/>
    </row>
    <row r="389" spans="1:8" x14ac:dyDescent="0.25">
      <c r="C389" s="229">
        <f>G382</f>
        <v>0.15591546768420192</v>
      </c>
      <c r="D389" s="229" t="str">
        <f>IF(C389&lt;=E389,"≤","&gt;")</f>
        <v>≤</v>
      </c>
      <c r="E389" s="229">
        <f>I78</f>
        <v>0.76800000000000002</v>
      </c>
      <c r="F389" s="229" t="str">
        <f>IF(C389&lt;E389,"Verifica soddisfatta","Verifica non soddisfatta")</f>
        <v>Verifica soddisfatta</v>
      </c>
      <c r="G389" s="298"/>
    </row>
    <row r="390" spans="1:8" x14ac:dyDescent="0.25">
      <c r="G390" s="298"/>
    </row>
    <row r="391" spans="1:8" x14ac:dyDescent="0.25">
      <c r="G391" s="298"/>
    </row>
    <row r="392" spans="1:8" x14ac:dyDescent="0.25">
      <c r="G392" s="298"/>
    </row>
    <row r="393" spans="1:8" x14ac:dyDescent="0.25">
      <c r="G393" s="298"/>
    </row>
    <row r="394" spans="1:8" x14ac:dyDescent="0.25">
      <c r="A394" s="229" t="s">
        <v>145</v>
      </c>
      <c r="G394" s="298"/>
    </row>
    <row r="395" spans="1:8" x14ac:dyDescent="0.25">
      <c r="G395" s="298"/>
    </row>
    <row r="396" spans="1:8" x14ac:dyDescent="0.25">
      <c r="A396" s="229" t="s">
        <v>146</v>
      </c>
      <c r="G396" s="298"/>
    </row>
    <row r="397" spans="1:8" x14ac:dyDescent="0.25">
      <c r="G397" s="298"/>
    </row>
    <row r="398" spans="1:8" x14ac:dyDescent="0.25">
      <c r="F398" s="229" t="s">
        <v>7</v>
      </c>
      <c r="G398" s="298">
        <f>1*K175*E191/E195*K167*10^3</f>
        <v>83.144961273842696</v>
      </c>
      <c r="H398" s="229" t="s">
        <v>101</v>
      </c>
    </row>
    <row r="399" spans="1:8" x14ac:dyDescent="0.25">
      <c r="G399" s="298"/>
    </row>
    <row r="400" spans="1:8" x14ac:dyDescent="0.25">
      <c r="G400" s="298"/>
    </row>
    <row r="401" spans="2:8" x14ac:dyDescent="0.25">
      <c r="B401" s="229" t="s">
        <v>147</v>
      </c>
      <c r="G401" s="298"/>
    </row>
    <row r="402" spans="2:8" x14ac:dyDescent="0.25">
      <c r="G402" s="298"/>
    </row>
    <row r="403" spans="2:8" x14ac:dyDescent="0.25">
      <c r="G403" s="298"/>
    </row>
    <row r="404" spans="2:8" x14ac:dyDescent="0.25">
      <c r="F404" s="229" t="s">
        <v>7</v>
      </c>
      <c r="G404" s="298">
        <f>K174/E195*K167</f>
        <v>7.9281616308525846</v>
      </c>
      <c r="H404" s="229" t="s">
        <v>100</v>
      </c>
    </row>
    <row r="405" spans="2:8" x14ac:dyDescent="0.25">
      <c r="G405" s="298"/>
    </row>
    <row r="406" spans="2:8" x14ac:dyDescent="0.25">
      <c r="G406" s="298"/>
    </row>
    <row r="407" spans="2:8" x14ac:dyDescent="0.25">
      <c r="B407" s="229" t="s">
        <v>140</v>
      </c>
      <c r="G407" s="298"/>
    </row>
    <row r="408" spans="2:8" x14ac:dyDescent="0.25">
      <c r="G408" s="298"/>
    </row>
    <row r="409" spans="2:8" x14ac:dyDescent="0.25">
      <c r="G409" s="298"/>
    </row>
    <row r="410" spans="2:8" x14ac:dyDescent="0.25">
      <c r="F410" s="229" t="s">
        <v>7</v>
      </c>
      <c r="G410" s="298">
        <f>G398*1000/K116/K117</f>
        <v>2.1319220839446844</v>
      </c>
      <c r="H410" s="229" t="s">
        <v>141</v>
      </c>
    </row>
    <row r="411" spans="2:8" x14ac:dyDescent="0.25">
      <c r="G411" s="298"/>
    </row>
    <row r="412" spans="2:8" x14ac:dyDescent="0.25">
      <c r="G412" s="298"/>
    </row>
    <row r="413" spans="2:8" x14ac:dyDescent="0.25">
      <c r="F413" s="229" t="s">
        <v>7</v>
      </c>
      <c r="G413" s="298">
        <f>G404*10^6*6/K117/K116^2</f>
        <v>4.6912198999127721</v>
      </c>
      <c r="H413" s="229" t="s">
        <v>141</v>
      </c>
    </row>
    <row r="414" spans="2:8" x14ac:dyDescent="0.25">
      <c r="G414" s="298"/>
    </row>
    <row r="415" spans="2:8" x14ac:dyDescent="0.25">
      <c r="G415" s="298"/>
    </row>
    <row r="416" spans="2:8" x14ac:dyDescent="0.25">
      <c r="B416" s="229" t="s">
        <v>142</v>
      </c>
      <c r="G416" s="298"/>
    </row>
    <row r="417" spans="2:8" x14ac:dyDescent="0.25">
      <c r="G417" s="298"/>
    </row>
    <row r="418" spans="2:8" x14ac:dyDescent="0.25">
      <c r="B418" s="229" t="s">
        <v>148</v>
      </c>
      <c r="G418" s="298"/>
    </row>
    <row r="419" spans="2:8" x14ac:dyDescent="0.25">
      <c r="G419" s="298"/>
    </row>
    <row r="420" spans="2:8" x14ac:dyDescent="0.25">
      <c r="E420" s="229">
        <f>G410/I95+G413/I94</f>
        <v>0.47891422557575691</v>
      </c>
      <c r="F420" s="229" t="str">
        <f>IF(E420&lt;=G420,"≤","&gt;")</f>
        <v>≤</v>
      </c>
      <c r="G420" s="298">
        <v>1</v>
      </c>
      <c r="H420" s="229" t="str">
        <f>IF(E420&lt;G420,"Verifica soddisfatta","Verifica non soddisfatta")</f>
        <v>Verifica soddisfatta</v>
      </c>
    </row>
    <row r="421" spans="2:8" x14ac:dyDescent="0.25">
      <c r="G421" s="298"/>
    </row>
    <row r="422" spans="2:8" x14ac:dyDescent="0.25">
      <c r="G422" s="298"/>
    </row>
    <row r="423" spans="2:8" x14ac:dyDescent="0.25">
      <c r="G423" s="298"/>
    </row>
    <row r="424" spans="2:8" x14ac:dyDescent="0.25">
      <c r="B424" s="229" t="s">
        <v>144</v>
      </c>
      <c r="G424" s="298"/>
    </row>
    <row r="425" spans="2:8" x14ac:dyDescent="0.25">
      <c r="G425" s="298"/>
    </row>
    <row r="426" spans="2:8" x14ac:dyDescent="0.25">
      <c r="G426" s="298"/>
    </row>
    <row r="427" spans="2:8" x14ac:dyDescent="0.25">
      <c r="G427" s="298"/>
    </row>
    <row r="428" spans="2:8" x14ac:dyDescent="0.25">
      <c r="F428" s="229" t="s">
        <v>7</v>
      </c>
      <c r="G428" s="298">
        <f>'Relazione di Calcolo AT SUPPORT'!G570</f>
        <v>0.45366941489157575</v>
      </c>
      <c r="H428" s="229" t="s">
        <v>141</v>
      </c>
    </row>
    <row r="429" spans="2:8" x14ac:dyDescent="0.25">
      <c r="G429" s="298"/>
    </row>
    <row r="430" spans="2:8" x14ac:dyDescent="0.25">
      <c r="G430" s="298"/>
    </row>
    <row r="431" spans="2:8" x14ac:dyDescent="0.25">
      <c r="G431" s="298"/>
    </row>
    <row r="432" spans="2:8" x14ac:dyDescent="0.25">
      <c r="G432" s="298"/>
    </row>
    <row r="433" spans="2:8" x14ac:dyDescent="0.25">
      <c r="G433" s="298"/>
    </row>
    <row r="434" spans="2:8" x14ac:dyDescent="0.25">
      <c r="G434" s="298"/>
    </row>
    <row r="435" spans="2:8" x14ac:dyDescent="0.25">
      <c r="E435" s="229">
        <f>G428</f>
        <v>0.45366941489157575</v>
      </c>
      <c r="F435" s="229" t="str">
        <f>IF(E435&lt;=G435,"≤","&gt;")</f>
        <v>≤</v>
      </c>
      <c r="G435" s="298">
        <f>I99</f>
        <v>1.5008000000000001</v>
      </c>
      <c r="H435" s="229" t="str">
        <f>IF(E435&lt;G435,"Verifica soddisfatta","Verifica non soddisfatta")</f>
        <v>Verifica soddisfatta</v>
      </c>
    </row>
    <row r="436" spans="2:8" x14ac:dyDescent="0.25">
      <c r="B436" s="229" t="s">
        <v>441</v>
      </c>
      <c r="G436" s="298"/>
    </row>
    <row r="437" spans="2:8" x14ac:dyDescent="0.25">
      <c r="G437" s="298"/>
    </row>
    <row r="438" spans="2:8" x14ac:dyDescent="0.25">
      <c r="B438" s="229" t="s">
        <v>440</v>
      </c>
      <c r="G438" s="298"/>
    </row>
    <row r="439" spans="2:8" x14ac:dyDescent="0.25">
      <c r="G439" s="298"/>
    </row>
    <row r="440" spans="2:8" x14ac:dyDescent="0.25">
      <c r="G440" s="298"/>
    </row>
    <row r="441" spans="2:8" x14ac:dyDescent="0.25">
      <c r="F441" s="229" t="s">
        <v>7</v>
      </c>
      <c r="G441" s="298">
        <f>E189*E175*E193*E143/E195*K168</f>
        <v>55.4299741825618</v>
      </c>
      <c r="H441" s="229" t="s">
        <v>101</v>
      </c>
    </row>
    <row r="442" spans="2:8" x14ac:dyDescent="0.25">
      <c r="G442" s="298"/>
    </row>
    <row r="443" spans="2:8" x14ac:dyDescent="0.25">
      <c r="G443" s="298"/>
    </row>
    <row r="444" spans="2:8" x14ac:dyDescent="0.25">
      <c r="B444" s="229" t="s">
        <v>151</v>
      </c>
      <c r="G444" s="298"/>
    </row>
    <row r="445" spans="2:8" x14ac:dyDescent="0.25">
      <c r="G445" s="298"/>
    </row>
    <row r="446" spans="2:8" x14ac:dyDescent="0.25">
      <c r="F446" s="229" t="s">
        <v>7</v>
      </c>
      <c r="G446" s="298">
        <f>E146/1000</f>
        <v>90.82831311705705</v>
      </c>
      <c r="H446" s="229" t="s">
        <v>101</v>
      </c>
    </row>
    <row r="447" spans="2:8" x14ac:dyDescent="0.25">
      <c r="G447" s="298"/>
    </row>
    <row r="448" spans="2:8" x14ac:dyDescent="0.25">
      <c r="G448" s="298"/>
    </row>
    <row r="449" spans="2:8" x14ac:dyDescent="0.25">
      <c r="B449" s="229" t="s">
        <v>427</v>
      </c>
      <c r="G449" s="298"/>
    </row>
    <row r="450" spans="2:8" x14ac:dyDescent="0.25">
      <c r="B450" s="229" t="s">
        <v>428</v>
      </c>
      <c r="C450" s="229" t="s">
        <v>7</v>
      </c>
      <c r="D450" s="229">
        <f>G441*1000/E142</f>
        <v>0.34616689575370363</v>
      </c>
      <c r="G450" s="298"/>
    </row>
    <row r="451" spans="2:8" x14ac:dyDescent="0.25">
      <c r="G451" s="298"/>
    </row>
    <row r="452" spans="2:8" x14ac:dyDescent="0.25">
      <c r="G452" s="298"/>
    </row>
    <row r="453" spans="2:8" x14ac:dyDescent="0.25">
      <c r="G453" s="298"/>
    </row>
    <row r="454" spans="2:8" x14ac:dyDescent="0.25">
      <c r="B454" s="229" t="s">
        <v>152</v>
      </c>
      <c r="G454" s="298"/>
    </row>
    <row r="455" spans="2:8" x14ac:dyDescent="0.25">
      <c r="G455" s="298"/>
    </row>
    <row r="456" spans="2:8" x14ac:dyDescent="0.25">
      <c r="G456" s="298"/>
    </row>
    <row r="457" spans="2:8" x14ac:dyDescent="0.25">
      <c r="G457" s="298"/>
    </row>
    <row r="458" spans="2:8" x14ac:dyDescent="0.25">
      <c r="G458" s="298"/>
    </row>
    <row r="459" spans="2:8" x14ac:dyDescent="0.25">
      <c r="E459" s="229">
        <f>G441</f>
        <v>55.4299741825618</v>
      </c>
      <c r="F459" s="229" t="str">
        <f>IF(E459&lt;=G459,"≤","&gt;")</f>
        <v>≤</v>
      </c>
      <c r="G459" s="298">
        <f>G446</f>
        <v>90.82831311705705</v>
      </c>
      <c r="H459" s="229" t="str">
        <f>IF(E459&lt;G459,"Verifica soddisfatta","Verifica non soddisfatta")</f>
        <v>Verifica soddisfatta</v>
      </c>
    </row>
    <row r="460" spans="2:8" x14ac:dyDescent="0.25">
      <c r="G460" s="298"/>
    </row>
    <row r="461" spans="2:8" x14ac:dyDescent="0.25">
      <c r="B461" s="229" t="s">
        <v>442</v>
      </c>
      <c r="G461" s="298"/>
    </row>
    <row r="462" spans="2:8" x14ac:dyDescent="0.25">
      <c r="G462" s="298"/>
    </row>
    <row r="463" spans="2:8" x14ac:dyDescent="0.25">
      <c r="B463" s="229" t="s">
        <v>440</v>
      </c>
      <c r="G463" s="298"/>
    </row>
    <row r="464" spans="2:8" x14ac:dyDescent="0.25">
      <c r="G464" s="298"/>
    </row>
    <row r="465" spans="2:8" x14ac:dyDescent="0.25">
      <c r="G465" s="298"/>
    </row>
    <row r="466" spans="2:8" x14ac:dyDescent="0.25">
      <c r="F466" s="229" t="s">
        <v>7</v>
      </c>
      <c r="G466" s="298">
        <f>G441/2</f>
        <v>27.7149870912809</v>
      </c>
      <c r="H466" s="229" t="s">
        <v>101</v>
      </c>
    </row>
    <row r="467" spans="2:8" x14ac:dyDescent="0.25">
      <c r="G467" s="298"/>
    </row>
    <row r="468" spans="2:8" x14ac:dyDescent="0.25">
      <c r="G468" s="298"/>
    </row>
    <row r="469" spans="2:8" x14ac:dyDescent="0.25">
      <c r="B469" s="229" t="s">
        <v>151</v>
      </c>
      <c r="G469" s="298"/>
    </row>
    <row r="470" spans="2:8" x14ac:dyDescent="0.25">
      <c r="G470" s="298"/>
    </row>
    <row r="471" spans="2:8" x14ac:dyDescent="0.25">
      <c r="F471" s="229" t="s">
        <v>7</v>
      </c>
      <c r="G471" s="298">
        <f>$K$146/1000</f>
        <v>45.414156558528525</v>
      </c>
      <c r="H471" s="229" t="s">
        <v>101</v>
      </c>
    </row>
    <row r="472" spans="2:8" x14ac:dyDescent="0.25">
      <c r="G472" s="298"/>
    </row>
    <row r="473" spans="2:8" x14ac:dyDescent="0.25">
      <c r="G473" s="298"/>
    </row>
    <row r="474" spans="2:8" x14ac:dyDescent="0.25">
      <c r="G474" s="298"/>
    </row>
    <row r="475" spans="2:8" x14ac:dyDescent="0.25">
      <c r="G475" s="298"/>
    </row>
    <row r="476" spans="2:8" x14ac:dyDescent="0.25">
      <c r="G476" s="298"/>
    </row>
    <row r="477" spans="2:8" x14ac:dyDescent="0.25">
      <c r="B477" s="229" t="s">
        <v>152</v>
      </c>
      <c r="G477" s="298"/>
    </row>
    <row r="478" spans="2:8" x14ac:dyDescent="0.25">
      <c r="G478" s="298"/>
    </row>
    <row r="479" spans="2:8" x14ac:dyDescent="0.25">
      <c r="G479" s="298"/>
    </row>
    <row r="480" spans="2:8" x14ac:dyDescent="0.25">
      <c r="G480" s="298"/>
    </row>
    <row r="481" spans="2:8" x14ac:dyDescent="0.25">
      <c r="G481" s="298"/>
    </row>
    <row r="482" spans="2:8" x14ac:dyDescent="0.25">
      <c r="E482" s="229">
        <f>G466</f>
        <v>27.7149870912809</v>
      </c>
      <c r="F482" s="229" t="str">
        <f>IF(E482&lt;=G482,"≤","&gt;")</f>
        <v>≤</v>
      </c>
      <c r="G482" s="298">
        <f>G471</f>
        <v>45.414156558528525</v>
      </c>
      <c r="H482" s="229" t="str">
        <f>IF(E482&lt;G482,"Verifica soddisfatta","Verifica non soddisfatta")</f>
        <v>Verifica soddisfatta</v>
      </c>
    </row>
    <row r="483" spans="2:8" x14ac:dyDescent="0.25">
      <c r="G483" s="298"/>
    </row>
    <row r="484" spans="2:8" x14ac:dyDescent="0.25">
      <c r="G484" s="298"/>
    </row>
    <row r="485" spans="2:8" x14ac:dyDescent="0.25">
      <c r="G485" s="298"/>
    </row>
    <row r="486" spans="2:8" x14ac:dyDescent="0.25">
      <c r="B486" s="229" t="s">
        <v>242</v>
      </c>
      <c r="G486" s="298"/>
    </row>
    <row r="487" spans="2:8" x14ac:dyDescent="0.25">
      <c r="G487" s="298"/>
    </row>
    <row r="488" spans="2:8" x14ac:dyDescent="0.25">
      <c r="B488" s="229" t="s">
        <v>137</v>
      </c>
      <c r="G488" s="298"/>
    </row>
    <row r="489" spans="2:8" x14ac:dyDescent="0.25">
      <c r="G489" s="298"/>
    </row>
    <row r="490" spans="2:8" x14ac:dyDescent="0.25">
      <c r="B490" s="229" t="s">
        <v>138</v>
      </c>
      <c r="G490" s="298"/>
    </row>
    <row r="491" spans="2:8" x14ac:dyDescent="0.25">
      <c r="G491" s="298"/>
    </row>
    <row r="492" spans="2:8" x14ac:dyDescent="0.25">
      <c r="G492" s="298"/>
    </row>
    <row r="493" spans="2:8" x14ac:dyDescent="0.25">
      <c r="F493" s="229" t="s">
        <v>7</v>
      </c>
      <c r="G493" s="298">
        <f>$E$222*$E$211*$E$226/$E$228*$E$167*10^6</f>
        <v>44017.920674387315</v>
      </c>
      <c r="H493" s="229" t="s">
        <v>4</v>
      </c>
    </row>
    <row r="494" spans="2:8" x14ac:dyDescent="0.25">
      <c r="G494" s="298"/>
    </row>
    <row r="495" spans="2:8" x14ac:dyDescent="0.25">
      <c r="G495" s="298"/>
    </row>
    <row r="496" spans="2:8" x14ac:dyDescent="0.25">
      <c r="B496" s="229" t="s">
        <v>139</v>
      </c>
      <c r="G496" s="298"/>
    </row>
    <row r="497" spans="2:8" x14ac:dyDescent="0.25">
      <c r="G497" s="298"/>
    </row>
    <row r="498" spans="2:8" x14ac:dyDescent="0.25">
      <c r="G498" s="298"/>
    </row>
    <row r="499" spans="2:8" x14ac:dyDescent="0.25">
      <c r="F499" s="229" t="s">
        <v>7</v>
      </c>
      <c r="G499" s="298">
        <f>$E$210/$E$228*$E$167*10^6</f>
        <v>469691.4454910247</v>
      </c>
      <c r="H499" s="229" t="s">
        <v>153</v>
      </c>
    </row>
    <row r="500" spans="2:8" x14ac:dyDescent="0.25">
      <c r="G500" s="298"/>
    </row>
    <row r="501" spans="2:8" x14ac:dyDescent="0.25">
      <c r="G501" s="298"/>
    </row>
    <row r="502" spans="2:8" x14ac:dyDescent="0.25">
      <c r="B502" s="229" t="s">
        <v>140</v>
      </c>
      <c r="G502" s="298"/>
    </row>
    <row r="503" spans="2:8" x14ac:dyDescent="0.25">
      <c r="G503" s="298"/>
    </row>
    <row r="504" spans="2:8" x14ac:dyDescent="0.25">
      <c r="F504" s="229" t="s">
        <v>7</v>
      </c>
      <c r="G504" s="298">
        <f>G493/E46</f>
        <v>1.1987973781773718</v>
      </c>
      <c r="H504" s="229" t="s">
        <v>141</v>
      </c>
    </row>
    <row r="505" spans="2:8" x14ac:dyDescent="0.25">
      <c r="G505" s="298"/>
    </row>
    <row r="506" spans="2:8" x14ac:dyDescent="0.25">
      <c r="G506" s="298"/>
    </row>
    <row r="507" spans="2:8" x14ac:dyDescent="0.25">
      <c r="F507" s="229" t="s">
        <v>7</v>
      </c>
      <c r="G507" s="298">
        <f>G499*$E$116/2/E45</f>
        <v>0.73095537295512791</v>
      </c>
      <c r="H507" s="229" t="s">
        <v>141</v>
      </c>
    </row>
    <row r="508" spans="2:8" x14ac:dyDescent="0.25">
      <c r="G508" s="298"/>
    </row>
    <row r="509" spans="2:8" x14ac:dyDescent="0.25">
      <c r="B509" s="229" t="s">
        <v>142</v>
      </c>
      <c r="G509" s="298"/>
    </row>
    <row r="510" spans="2:8" x14ac:dyDescent="0.25">
      <c r="G510" s="298"/>
    </row>
    <row r="511" spans="2:8" x14ac:dyDescent="0.25">
      <c r="B511" s="229" t="s">
        <v>154</v>
      </c>
      <c r="G511" s="298"/>
    </row>
    <row r="512" spans="2:8" x14ac:dyDescent="0.25">
      <c r="G512" s="298"/>
    </row>
    <row r="513" spans="2:8" x14ac:dyDescent="0.25">
      <c r="E513" s="229">
        <f>G504/$J$75+G507/$J$72</f>
        <v>0.18237929856280841</v>
      </c>
      <c r="F513" s="229" t="str">
        <f>IF(E513&lt;=G513,"≤","&gt;")</f>
        <v>≤</v>
      </c>
      <c r="G513" s="298">
        <v>1</v>
      </c>
      <c r="H513" s="229" t="str">
        <f>IF(E513&lt;G513,"Verifica soddisfatta","Verifica non soddisfatta")</f>
        <v>Verifica soddisfatta</v>
      </c>
    </row>
    <row r="514" spans="2:8" x14ac:dyDescent="0.25">
      <c r="G514" s="298"/>
    </row>
    <row r="515" spans="2:8" x14ac:dyDescent="0.25">
      <c r="G515" s="298"/>
    </row>
    <row r="516" spans="2:8" x14ac:dyDescent="0.25">
      <c r="G516" s="298"/>
    </row>
    <row r="517" spans="2:8" x14ac:dyDescent="0.25">
      <c r="B517" s="229" t="s">
        <v>144</v>
      </c>
      <c r="G517" s="298"/>
    </row>
    <row r="518" spans="2:8" x14ac:dyDescent="0.25">
      <c r="G518" s="298"/>
    </row>
    <row r="519" spans="2:8" x14ac:dyDescent="0.25">
      <c r="G519" s="298"/>
    </row>
    <row r="520" spans="2:8" x14ac:dyDescent="0.25">
      <c r="G520" s="298"/>
    </row>
    <row r="521" spans="2:8" x14ac:dyDescent="0.25">
      <c r="F521" s="229" t="s">
        <v>7</v>
      </c>
      <c r="G521" s="298">
        <f>IF(E43=3,E208/E228*((EJeff!C14*(E226+E116/2-EJeff!C14/2))+EJeff!C16*(E226+E116/2-EJeff!C16/2))*E168*1000,IF(E43=5,E208/E228*(EJeff!C13*(E226+E116/2-EJeff!C13/2)+EJeff!C15*(E226+E116/2-EJeff!C15/2)+EJeff!C17*(E226+E116/2-EJeff!C17/2))*E168*1000,IF(E43=7,E208/E228*(EJeff!C12*(E226+E116/2-EJeff!C12/2)+EJeff!C14*(E226+E116/2-EJeff!C14/2)+EJeff!C16*(E226+E116/2-EJeff!C16/2)+EJeff!C18*(E226+E116/2-EJeff!C18/2))*E168*1000,"errore troppi strati")))</f>
        <v>9.9352607432536655E-2</v>
      </c>
      <c r="H521" s="229" t="s">
        <v>141</v>
      </c>
    </row>
    <row r="522" spans="2:8" x14ac:dyDescent="0.25">
      <c r="G522" s="298"/>
    </row>
    <row r="523" spans="2:8" x14ac:dyDescent="0.25">
      <c r="G523" s="298"/>
    </row>
    <row r="524" spans="2:8" x14ac:dyDescent="0.25">
      <c r="G524" s="298"/>
    </row>
    <row r="525" spans="2:8" x14ac:dyDescent="0.25">
      <c r="G525" s="298"/>
    </row>
    <row r="526" spans="2:8" x14ac:dyDescent="0.25">
      <c r="G526" s="298"/>
    </row>
    <row r="527" spans="2:8" x14ac:dyDescent="0.25">
      <c r="G527" s="298"/>
    </row>
    <row r="528" spans="2:8" x14ac:dyDescent="0.25">
      <c r="C528" s="229">
        <f>G521</f>
        <v>9.9352607432536655E-2</v>
      </c>
      <c r="D528" s="229" t="str">
        <f>IF(C528&lt;=E528,"≤","&gt;")</f>
        <v>≤</v>
      </c>
      <c r="E528" s="229">
        <f>$J$77</f>
        <v>1.2864</v>
      </c>
      <c r="F528" s="229" t="str">
        <f>IF(C528&lt;E528,"Verifica soddisfatta","Verifica non soddisfatta")</f>
        <v>Verifica soddisfatta</v>
      </c>
      <c r="G528" s="298"/>
    </row>
    <row r="529" spans="2:11" x14ac:dyDescent="0.25">
      <c r="G529" s="298"/>
    </row>
    <row r="530" spans="2:11" x14ac:dyDescent="0.25">
      <c r="G530" s="298"/>
    </row>
    <row r="531" spans="2:11" x14ac:dyDescent="0.25">
      <c r="B531" s="229" t="s">
        <v>408</v>
      </c>
      <c r="G531" s="298"/>
    </row>
    <row r="532" spans="2:11" x14ac:dyDescent="0.25">
      <c r="G532" s="298"/>
    </row>
    <row r="533" spans="2:11" x14ac:dyDescent="0.25">
      <c r="G533" s="298"/>
    </row>
    <row r="534" spans="2:11" x14ac:dyDescent="0.25">
      <c r="G534" s="298"/>
    </row>
    <row r="535" spans="2:11" x14ac:dyDescent="0.25">
      <c r="F535" s="229" t="s">
        <v>7</v>
      </c>
      <c r="G535" s="298" t="str">
        <f>IF(E43="3 strati",E208/E228*EJeff!C14*(E226+E116/2-EJeff!C14/2)*E168*1000,IF(E43="5 strati",E208/E228*(EJeff!C13*(E226+E116/2-EJeff!C13/2)+EJeff!C15*(E226+E116/2-EJeff!C15/2))*E168*1000,IF(E43="7 strati",E208/E228*(EJeff!C12*(E226+E116/2-EJeff!C12/2)+EJeff!C14*(E226+E116/2-EJeff!C14/2)+EJeff!C16*(E226+E116/2-EJeff!C16/2))*E168*1000,"errore troppi strati")))</f>
        <v>errore troppi strati</v>
      </c>
      <c r="H535" s="229" t="s">
        <v>141</v>
      </c>
    </row>
    <row r="536" spans="2:11" x14ac:dyDescent="0.25">
      <c r="G536" s="298"/>
      <c r="K536" s="229" t="s">
        <v>335</v>
      </c>
    </row>
    <row r="537" spans="2:11" x14ac:dyDescent="0.25">
      <c r="G537" s="298"/>
    </row>
    <row r="538" spans="2:11" x14ac:dyDescent="0.25">
      <c r="G538" s="298"/>
    </row>
    <row r="539" spans="2:11" x14ac:dyDescent="0.25">
      <c r="C539" s="229" t="str">
        <f>G535</f>
        <v>errore troppi strati</v>
      </c>
      <c r="D539" s="229" t="str">
        <f>IF(C539&lt;=E539,"≤","&gt;")</f>
        <v>&gt;</v>
      </c>
      <c r="E539" s="229">
        <f>J78</f>
        <v>0.57599999999999996</v>
      </c>
      <c r="F539" s="229" t="str">
        <f>IF(C539&lt;E539,"Verifica soddisfatta","Verifica non soddisfatta")</f>
        <v>Verifica non soddisfatta</v>
      </c>
      <c r="G539" s="298"/>
    </row>
    <row r="540" spans="2:11" x14ac:dyDescent="0.25">
      <c r="G540" s="298"/>
    </row>
    <row r="541" spans="2:11" x14ac:dyDescent="0.25">
      <c r="G541" s="298"/>
    </row>
    <row r="542" spans="2:11" x14ac:dyDescent="0.25">
      <c r="B542" s="229" t="s">
        <v>145</v>
      </c>
      <c r="G542" s="298"/>
    </row>
    <row r="543" spans="2:11" x14ac:dyDescent="0.25">
      <c r="G543" s="298"/>
    </row>
    <row r="544" spans="2:11" x14ac:dyDescent="0.25">
      <c r="B544" s="229" t="s">
        <v>146</v>
      </c>
      <c r="G544" s="298"/>
    </row>
    <row r="545" spans="2:8" x14ac:dyDescent="0.25">
      <c r="G545" s="298"/>
    </row>
    <row r="546" spans="2:8" x14ac:dyDescent="0.25">
      <c r="G546" s="298"/>
    </row>
    <row r="547" spans="2:8" x14ac:dyDescent="0.25">
      <c r="F547" s="229" t="s">
        <v>7</v>
      </c>
      <c r="G547" s="298">
        <f>1*$K$211*$E$224/$E$228*$E$167*10^3</f>
        <v>44.017920674387312</v>
      </c>
      <c r="H547" s="229" t="s">
        <v>101</v>
      </c>
    </row>
    <row r="548" spans="2:8" x14ac:dyDescent="0.25">
      <c r="G548" s="298"/>
    </row>
    <row r="549" spans="2:8" x14ac:dyDescent="0.25">
      <c r="B549" s="229" t="s">
        <v>147</v>
      </c>
      <c r="G549" s="298"/>
    </row>
    <row r="550" spans="2:8" x14ac:dyDescent="0.25">
      <c r="G550" s="298"/>
    </row>
    <row r="551" spans="2:8" x14ac:dyDescent="0.25">
      <c r="G551" s="298"/>
    </row>
    <row r="552" spans="2:8" x14ac:dyDescent="0.25">
      <c r="F552" s="229" t="s">
        <v>7</v>
      </c>
      <c r="G552" s="298">
        <f>$K$210/$E$228*$E$167</f>
        <v>4.1972620398631335</v>
      </c>
      <c r="H552" s="229" t="s">
        <v>155</v>
      </c>
    </row>
    <row r="553" spans="2:8" x14ac:dyDescent="0.25">
      <c r="G553" s="298"/>
    </row>
    <row r="554" spans="2:8" x14ac:dyDescent="0.25">
      <c r="G554" s="298"/>
    </row>
    <row r="555" spans="2:8" x14ac:dyDescent="0.25">
      <c r="B555" s="229" t="s">
        <v>140</v>
      </c>
      <c r="G555" s="298"/>
    </row>
    <row r="556" spans="2:8" x14ac:dyDescent="0.25">
      <c r="G556" s="298"/>
    </row>
    <row r="557" spans="2:8" x14ac:dyDescent="0.25">
      <c r="G557" s="298"/>
    </row>
    <row r="558" spans="2:8" x14ac:dyDescent="0.25">
      <c r="F558" s="229" t="s">
        <v>7</v>
      </c>
      <c r="G558" s="298">
        <f>G547*1000/($K$116*$K$117)</f>
        <v>1.1286646326765979</v>
      </c>
      <c r="H558" s="229" t="s">
        <v>141</v>
      </c>
    </row>
    <row r="559" spans="2:8" x14ac:dyDescent="0.25">
      <c r="G559" s="298"/>
    </row>
    <row r="560" spans="2:8" x14ac:dyDescent="0.25">
      <c r="G560" s="298"/>
    </row>
    <row r="561" spans="2:8" x14ac:dyDescent="0.25">
      <c r="F561" s="229" t="s">
        <v>7</v>
      </c>
      <c r="G561" s="298">
        <f>10^6*G552*$K$116/(2*$K$117*$K$116^3/12)</f>
        <v>2.4835870058361738</v>
      </c>
      <c r="H561" s="229" t="s">
        <v>141</v>
      </c>
    </row>
    <row r="562" spans="2:8" x14ac:dyDescent="0.25">
      <c r="G562" s="298"/>
    </row>
    <row r="563" spans="2:8" x14ac:dyDescent="0.25">
      <c r="G563" s="298"/>
    </row>
    <row r="564" spans="2:8" x14ac:dyDescent="0.25">
      <c r="B564" s="229" t="s">
        <v>142</v>
      </c>
      <c r="G564" s="298"/>
    </row>
    <row r="565" spans="2:8" x14ac:dyDescent="0.25">
      <c r="G565" s="298"/>
    </row>
    <row r="566" spans="2:8" x14ac:dyDescent="0.25">
      <c r="B566" s="229" t="s">
        <v>154</v>
      </c>
      <c r="G566" s="298"/>
    </row>
    <row r="567" spans="2:8" x14ac:dyDescent="0.25">
      <c r="G567" s="298"/>
    </row>
    <row r="568" spans="2:8" x14ac:dyDescent="0.25">
      <c r="E568" s="229">
        <f>G558/$J$95+G561/$J$94</f>
        <v>0.33805710040641679</v>
      </c>
      <c r="F568" s="229" t="str">
        <f>IF(E568&lt;=G568,"≤","&gt;")</f>
        <v>≤</v>
      </c>
      <c r="G568" s="298">
        <v>1</v>
      </c>
      <c r="H568" s="229" t="str">
        <f>IF(E568&lt;G568,"Verifica soddisfatta","Verifica non soddisfatta")</f>
        <v>Verifica soddisfatta</v>
      </c>
    </row>
    <row r="569" spans="2:8" x14ac:dyDescent="0.25">
      <c r="G569" s="298"/>
    </row>
    <row r="570" spans="2:8" x14ac:dyDescent="0.25">
      <c r="G570" s="298"/>
    </row>
    <row r="571" spans="2:8" x14ac:dyDescent="0.25">
      <c r="G571" s="298"/>
    </row>
    <row r="572" spans="2:8" x14ac:dyDescent="0.25">
      <c r="G572" s="298"/>
    </row>
    <row r="573" spans="2:8" x14ac:dyDescent="0.25">
      <c r="B573" s="229" t="s">
        <v>144</v>
      </c>
      <c r="G573" s="298"/>
    </row>
    <row r="574" spans="2:8" x14ac:dyDescent="0.25">
      <c r="G574" s="298"/>
    </row>
    <row r="575" spans="2:8" x14ac:dyDescent="0.25">
      <c r="G575" s="298"/>
    </row>
    <row r="576" spans="2:8" x14ac:dyDescent="0.25">
      <c r="G576" s="298"/>
    </row>
    <row r="577" spans="2:8" x14ac:dyDescent="0.25">
      <c r="F577" s="229" t="s">
        <v>7</v>
      </c>
      <c r="G577" s="298">
        <f>'Relazione di Calcolo AT SUPPORT'!G706</f>
        <v>0.24017792553083414</v>
      </c>
      <c r="H577" s="229" t="s">
        <v>141</v>
      </c>
    </row>
    <row r="578" spans="2:8" x14ac:dyDescent="0.25">
      <c r="G578" s="298"/>
    </row>
    <row r="579" spans="2:8" x14ac:dyDescent="0.25">
      <c r="G579" s="298"/>
    </row>
    <row r="580" spans="2:8" x14ac:dyDescent="0.25">
      <c r="G580" s="298"/>
    </row>
    <row r="581" spans="2:8" x14ac:dyDescent="0.25">
      <c r="G581" s="298"/>
    </row>
    <row r="582" spans="2:8" x14ac:dyDescent="0.25">
      <c r="G582" s="298"/>
    </row>
    <row r="583" spans="2:8" x14ac:dyDescent="0.25">
      <c r="G583" s="298"/>
    </row>
    <row r="584" spans="2:8" x14ac:dyDescent="0.25">
      <c r="C584" s="229">
        <f>G577</f>
        <v>0.24017792553083414</v>
      </c>
      <c r="D584" s="229" t="str">
        <f>IF(C584&lt;=E584,"≤","&gt;")</f>
        <v>≤</v>
      </c>
      <c r="E584" s="229">
        <f>$J$99</f>
        <v>1.1256000000000002</v>
      </c>
      <c r="F584" s="229" t="str">
        <f>IF(C584&lt;E584,"Verifica soddisfatta","Verifica non soddisfatta")</f>
        <v>Verifica soddisfatta</v>
      </c>
      <c r="G584" s="298"/>
    </row>
    <row r="585" spans="2:8" x14ac:dyDescent="0.25">
      <c r="G585" s="298"/>
    </row>
    <row r="586" spans="2:8" x14ac:dyDescent="0.25">
      <c r="B586" s="229" t="s">
        <v>149</v>
      </c>
      <c r="G586" s="298"/>
    </row>
    <row r="587" spans="2:8" x14ac:dyDescent="0.25">
      <c r="G587" s="298"/>
    </row>
    <row r="588" spans="2:8" x14ac:dyDescent="0.25">
      <c r="B588" s="229" t="s">
        <v>150</v>
      </c>
      <c r="G588" s="298"/>
    </row>
    <row r="589" spans="2:8" x14ac:dyDescent="0.25">
      <c r="G589" s="298"/>
    </row>
    <row r="590" spans="2:8" x14ac:dyDescent="0.25">
      <c r="G590" s="298"/>
    </row>
    <row r="591" spans="2:8" x14ac:dyDescent="0.25">
      <c r="F591" s="229" t="s">
        <v>7</v>
      </c>
      <c r="G591" s="298">
        <f>$E$211*$E$222*$E$226*$E$143*$E$168/$E$228</f>
        <v>29.345280449591542</v>
      </c>
      <c r="H591" s="229" t="s">
        <v>101</v>
      </c>
    </row>
    <row r="592" spans="2:8" x14ac:dyDescent="0.25">
      <c r="G592" s="298"/>
    </row>
    <row r="593" spans="2:8" x14ac:dyDescent="0.25">
      <c r="G593" s="298"/>
    </row>
    <row r="594" spans="2:8" x14ac:dyDescent="0.25">
      <c r="G594" s="298"/>
    </row>
    <row r="595" spans="2:8" x14ac:dyDescent="0.25">
      <c r="B595" s="229" t="s">
        <v>151</v>
      </c>
      <c r="G595" s="298"/>
    </row>
    <row r="596" spans="2:8" x14ac:dyDescent="0.25">
      <c r="G596" s="298"/>
    </row>
    <row r="597" spans="2:8" x14ac:dyDescent="0.25">
      <c r="F597" s="229" t="s">
        <v>7</v>
      </c>
      <c r="G597" s="298">
        <f>$E$145/1000</f>
        <v>68.121234837792784</v>
      </c>
      <c r="H597" s="229" t="s">
        <v>101</v>
      </c>
    </row>
    <row r="598" spans="2:8" x14ac:dyDescent="0.25">
      <c r="G598" s="298"/>
    </row>
    <row r="599" spans="2:8" x14ac:dyDescent="0.25">
      <c r="G599" s="298"/>
    </row>
    <row r="600" spans="2:8" x14ac:dyDescent="0.25">
      <c r="B600" s="229" t="s">
        <v>427</v>
      </c>
      <c r="G600" s="298"/>
    </row>
    <row r="601" spans="2:8" x14ac:dyDescent="0.25">
      <c r="B601" s="229" t="s">
        <v>428</v>
      </c>
      <c r="C601" s="229" t="s">
        <v>7</v>
      </c>
      <c r="D601" s="229">
        <f>G591*1000/E236</f>
        <v>0.30971755790669603</v>
      </c>
      <c r="G601" s="298"/>
    </row>
    <row r="602" spans="2:8" x14ac:dyDescent="0.25">
      <c r="G602" s="298"/>
    </row>
    <row r="603" spans="2:8" x14ac:dyDescent="0.25">
      <c r="G603" s="298"/>
    </row>
    <row r="604" spans="2:8" x14ac:dyDescent="0.25">
      <c r="G604" s="298"/>
    </row>
    <row r="605" spans="2:8" x14ac:dyDescent="0.25">
      <c r="B605" s="229" t="s">
        <v>152</v>
      </c>
      <c r="G605" s="298"/>
    </row>
    <row r="606" spans="2:8" x14ac:dyDescent="0.25">
      <c r="G606" s="298"/>
    </row>
    <row r="607" spans="2:8" x14ac:dyDescent="0.25">
      <c r="G607" s="298"/>
    </row>
    <row r="608" spans="2:8" x14ac:dyDescent="0.25">
      <c r="G608" s="298"/>
    </row>
    <row r="609" spans="2:8" x14ac:dyDescent="0.25">
      <c r="G609" s="298"/>
    </row>
    <row r="610" spans="2:8" x14ac:dyDescent="0.25">
      <c r="E610" s="229">
        <f>G591</f>
        <v>29.345280449591542</v>
      </c>
      <c r="F610" s="229" t="str">
        <f>IF(E610&lt;=G610,"≤","&gt;")</f>
        <v>≤</v>
      </c>
      <c r="G610" s="298">
        <f>G597</f>
        <v>68.121234837792784</v>
      </c>
      <c r="H610" s="229" t="str">
        <f>IF(E610&lt;=G610,"Verifica soddisfatta","Verifica non soddisfatta")</f>
        <v>Verifica soddisfatta</v>
      </c>
    </row>
    <row r="611" spans="2:8" x14ac:dyDescent="0.25">
      <c r="B611" s="229" t="s">
        <v>442</v>
      </c>
      <c r="G611" s="298"/>
    </row>
    <row r="612" spans="2:8" x14ac:dyDescent="0.25">
      <c r="G612" s="298"/>
    </row>
    <row r="613" spans="2:8" x14ac:dyDescent="0.25">
      <c r="B613" s="229" t="s">
        <v>440</v>
      </c>
      <c r="G613" s="298"/>
    </row>
    <row r="614" spans="2:8" x14ac:dyDescent="0.25">
      <c r="G614" s="298"/>
    </row>
    <row r="615" spans="2:8" x14ac:dyDescent="0.25">
      <c r="G615" s="298"/>
    </row>
    <row r="616" spans="2:8" x14ac:dyDescent="0.25">
      <c r="F616" s="229" t="s">
        <v>7</v>
      </c>
      <c r="G616" s="298">
        <f>G591/2</f>
        <v>14.672640224795771</v>
      </c>
      <c r="H616" s="229" t="s">
        <v>101</v>
      </c>
    </row>
    <row r="617" spans="2:8" x14ac:dyDescent="0.25">
      <c r="G617" s="298"/>
    </row>
    <row r="618" spans="2:8" x14ac:dyDescent="0.25">
      <c r="G618" s="298"/>
    </row>
    <row r="619" spans="2:8" x14ac:dyDescent="0.25">
      <c r="B619" s="229" t="s">
        <v>151</v>
      </c>
      <c r="G619" s="298"/>
    </row>
    <row r="620" spans="2:8" x14ac:dyDescent="0.25">
      <c r="G620" s="298"/>
    </row>
    <row r="621" spans="2:8" x14ac:dyDescent="0.25">
      <c r="F621" s="229" t="s">
        <v>7</v>
      </c>
      <c r="G621" s="298">
        <f>K145/1000</f>
        <v>34.060617418896392</v>
      </c>
      <c r="H621" s="229" t="s">
        <v>101</v>
      </c>
    </row>
    <row r="622" spans="2:8" x14ac:dyDescent="0.25">
      <c r="G622" s="298"/>
    </row>
    <row r="623" spans="2:8" x14ac:dyDescent="0.25">
      <c r="B623" s="229" t="s">
        <v>152</v>
      </c>
      <c r="G623" s="298"/>
    </row>
    <row r="624" spans="2:8" x14ac:dyDescent="0.25">
      <c r="G624" s="298"/>
    </row>
    <row r="625" spans="2:8" x14ac:dyDescent="0.25">
      <c r="G625" s="298"/>
    </row>
    <row r="626" spans="2:8" x14ac:dyDescent="0.25">
      <c r="G626" s="298"/>
    </row>
    <row r="627" spans="2:8" x14ac:dyDescent="0.25">
      <c r="G627" s="298"/>
    </row>
    <row r="628" spans="2:8" x14ac:dyDescent="0.25">
      <c r="E628" s="229">
        <f>G616</f>
        <v>14.672640224795771</v>
      </c>
      <c r="F628" s="229" t="str">
        <f>IF(E628&lt;=G628,"≤","&gt;")</f>
        <v>≤</v>
      </c>
      <c r="G628" s="298">
        <f>G621</f>
        <v>34.060617418896392</v>
      </c>
      <c r="H628" s="229" t="str">
        <f>IF(E628&lt;G628,"Verifica soddisfatta","Verifica non soddisfatta")</f>
        <v>Verifica soddisfatta</v>
      </c>
    </row>
    <row r="629" spans="2:8" x14ac:dyDescent="0.25">
      <c r="G629" s="298"/>
    </row>
    <row r="630" spans="2:8" x14ac:dyDescent="0.25">
      <c r="G630" s="298"/>
    </row>
    <row r="631" spans="2:8" x14ac:dyDescent="0.25">
      <c r="G631" s="298"/>
    </row>
    <row r="632" spans="2:8" x14ac:dyDescent="0.25">
      <c r="B632" s="229" t="s">
        <v>243</v>
      </c>
      <c r="G632" s="298"/>
    </row>
    <row r="633" spans="2:8" x14ac:dyDescent="0.25">
      <c r="G633" s="298"/>
    </row>
    <row r="634" spans="2:8" x14ac:dyDescent="0.25">
      <c r="B634" s="229" t="s">
        <v>137</v>
      </c>
      <c r="G634" s="298"/>
    </row>
    <row r="635" spans="2:8" x14ac:dyDescent="0.25">
      <c r="G635" s="298"/>
    </row>
    <row r="636" spans="2:8" x14ac:dyDescent="0.25">
      <c r="B636" s="229" t="s">
        <v>138</v>
      </c>
      <c r="G636" s="298"/>
    </row>
    <row r="637" spans="2:8" x14ac:dyDescent="0.25">
      <c r="G637" s="298"/>
    </row>
    <row r="638" spans="2:8" x14ac:dyDescent="0.25">
      <c r="G638" s="298"/>
    </row>
    <row r="639" spans="2:8" x14ac:dyDescent="0.25">
      <c r="F639" s="229" t="s">
        <v>7</v>
      </c>
      <c r="G639" s="298">
        <f>$G$312*$E$247*$G$318/$G$320*$K$167*10^3</f>
        <v>83.144961273842711</v>
      </c>
      <c r="H639" s="229" t="s">
        <v>101</v>
      </c>
    </row>
    <row r="640" spans="2:8" x14ac:dyDescent="0.25">
      <c r="G640" s="298"/>
    </row>
    <row r="641" spans="2:8" x14ac:dyDescent="0.25">
      <c r="G641" s="298"/>
    </row>
    <row r="642" spans="2:8" x14ac:dyDescent="0.25">
      <c r="B642" s="229" t="s">
        <v>139</v>
      </c>
      <c r="G642" s="298"/>
    </row>
    <row r="643" spans="2:8" x14ac:dyDescent="0.25">
      <c r="G643" s="298"/>
    </row>
    <row r="644" spans="2:8" x14ac:dyDescent="0.25">
      <c r="G644" s="298"/>
    </row>
    <row r="645" spans="2:8" x14ac:dyDescent="0.25">
      <c r="F645" s="229" t="s">
        <v>7</v>
      </c>
      <c r="G645" s="298">
        <f>$E$246/$G$320*$K$167</f>
        <v>0.88719495259415793</v>
      </c>
      <c r="H645" s="229" t="s">
        <v>100</v>
      </c>
    </row>
    <row r="646" spans="2:8" x14ac:dyDescent="0.25">
      <c r="G646" s="298"/>
    </row>
    <row r="647" spans="2:8" x14ac:dyDescent="0.25">
      <c r="G647" s="298"/>
    </row>
    <row r="648" spans="2:8" x14ac:dyDescent="0.25">
      <c r="B648" s="229" t="s">
        <v>140</v>
      </c>
      <c r="G648" s="298"/>
    </row>
    <row r="649" spans="2:8" x14ac:dyDescent="0.25">
      <c r="G649" s="298"/>
    </row>
    <row r="650" spans="2:8" x14ac:dyDescent="0.25">
      <c r="G650" s="298"/>
    </row>
    <row r="651" spans="2:8" x14ac:dyDescent="0.25">
      <c r="F651" s="229" t="s">
        <v>7</v>
      </c>
      <c r="G651" s="298">
        <f>G639*1000/E46</f>
        <v>2.2643950476683692</v>
      </c>
      <c r="H651" s="229" t="s">
        <v>141</v>
      </c>
    </row>
    <row r="652" spans="2:8" x14ac:dyDescent="0.25">
      <c r="G652" s="298"/>
    </row>
    <row r="653" spans="2:8" x14ac:dyDescent="0.25">
      <c r="G653" s="298"/>
    </row>
    <row r="654" spans="2:8" x14ac:dyDescent="0.25">
      <c r="F654" s="229" t="s">
        <v>7</v>
      </c>
      <c r="G654" s="298">
        <f>G645*E$116/2/E45*10^6</f>
        <v>1.3806934822485752</v>
      </c>
      <c r="H654" s="229" t="s">
        <v>141</v>
      </c>
    </row>
    <row r="655" spans="2:8" x14ac:dyDescent="0.25">
      <c r="G655" s="298"/>
    </row>
    <row r="656" spans="2:8" x14ac:dyDescent="0.25">
      <c r="G656" s="298"/>
    </row>
    <row r="657" spans="2:8" x14ac:dyDescent="0.25">
      <c r="G657" s="298"/>
    </row>
    <row r="658" spans="2:8" x14ac:dyDescent="0.25">
      <c r="B658" s="229" t="s">
        <v>142</v>
      </c>
      <c r="G658" s="298"/>
    </row>
    <row r="659" spans="2:8" x14ac:dyDescent="0.25">
      <c r="G659" s="298"/>
    </row>
    <row r="660" spans="2:8" x14ac:dyDescent="0.25">
      <c r="B660" s="229" t="s">
        <v>154</v>
      </c>
      <c r="G660" s="298"/>
    </row>
    <row r="661" spans="2:8" x14ac:dyDescent="0.25">
      <c r="G661" s="298"/>
    </row>
    <row r="662" spans="2:8" x14ac:dyDescent="0.25">
      <c r="E662" s="229">
        <f>G651/$I$75+G654/$I$72</f>
        <v>0.25837067296397859</v>
      </c>
      <c r="F662" s="229" t="str">
        <f>IF(E662&lt;=G662,"≤","&gt;")</f>
        <v>≤</v>
      </c>
      <c r="G662" s="298">
        <v>1</v>
      </c>
      <c r="H662" s="229" t="str">
        <f>IF(E662&lt;G662,"Verifica soddisfatta","Verifica non soddisfatta")</f>
        <v>Verifica soddisfatta</v>
      </c>
    </row>
    <row r="663" spans="2:8" x14ac:dyDescent="0.25">
      <c r="G663" s="298"/>
    </row>
    <row r="664" spans="2:8" x14ac:dyDescent="0.25">
      <c r="G664" s="298"/>
    </row>
    <row r="665" spans="2:8" x14ac:dyDescent="0.25">
      <c r="G665" s="298"/>
    </row>
    <row r="666" spans="2:8" x14ac:dyDescent="0.25">
      <c r="B666" s="229" t="s">
        <v>144</v>
      </c>
      <c r="G666" s="298"/>
    </row>
    <row r="667" spans="2:8" x14ac:dyDescent="0.25">
      <c r="G667" s="298"/>
    </row>
    <row r="668" spans="2:8" x14ac:dyDescent="0.25">
      <c r="G668" s="298"/>
    </row>
    <row r="669" spans="2:8" x14ac:dyDescent="0.25">
      <c r="G669" s="298"/>
    </row>
    <row r="670" spans="2:8" x14ac:dyDescent="0.25">
      <c r="F670" s="229" t="s">
        <v>7</v>
      </c>
      <c r="G670" s="298">
        <f>IF(E43=3,E244/G320*(EJeff!C14*(G318+E116/2-EJeff!C14/2)+EJeff!C16*(G318+E116/2-EJeff!C16/2))*K168*1000,IF(E43=5,E244/G320*(EJeff!C13*(G318+E116/2-EJeff!C13/2)+EJeff!C15*(G318+E116/2-EJeff!C15/2)+EJeff!C17*(G318+E116/2-EJeff!C17/2))*K168*1000,IF(E43=7,E244/G320*(EJeff!C12*(G318+E116/2-EJeff!C12/2)+EJeff!C14*(G318+E116/2-EJeff!C14/2)+EJeff!C16*(G318+E116/2-EJeff!C16/2))*K168*1000,"troppi strati errore")))</f>
        <v>0.18766603626145814</v>
      </c>
      <c r="H670" s="229" t="s">
        <v>141</v>
      </c>
    </row>
    <row r="671" spans="2:8" x14ac:dyDescent="0.25">
      <c r="G671" s="298"/>
    </row>
    <row r="672" spans="2:8" x14ac:dyDescent="0.25">
      <c r="G672" s="298"/>
    </row>
    <row r="673" spans="2:11" x14ac:dyDescent="0.25">
      <c r="G673" s="298"/>
    </row>
    <row r="674" spans="2:11" x14ac:dyDescent="0.25">
      <c r="G674" s="298"/>
    </row>
    <row r="675" spans="2:11" x14ac:dyDescent="0.25">
      <c r="G675" s="298"/>
    </row>
    <row r="676" spans="2:11" x14ac:dyDescent="0.25">
      <c r="G676" s="298"/>
    </row>
    <row r="677" spans="2:11" x14ac:dyDescent="0.25">
      <c r="G677" s="298"/>
    </row>
    <row r="678" spans="2:11" x14ac:dyDescent="0.25">
      <c r="C678" s="229">
        <f>G670</f>
        <v>0.18766603626145814</v>
      </c>
      <c r="D678" s="229" t="str">
        <f>IF(C678&lt;=E678,"≤","&gt;")</f>
        <v>≤</v>
      </c>
      <c r="E678" s="229">
        <f>$I$77</f>
        <v>1.7152000000000001</v>
      </c>
      <c r="F678" s="229" t="str">
        <f>IF(C678&lt;E678,"Verifica soddisfatta","Verifica non soddisfatta")</f>
        <v>Verifica soddisfatta</v>
      </c>
      <c r="G678" s="298"/>
    </row>
    <row r="679" spans="2:11" x14ac:dyDescent="0.25">
      <c r="G679" s="298"/>
    </row>
    <row r="680" spans="2:11" x14ac:dyDescent="0.25">
      <c r="G680" s="298"/>
    </row>
    <row r="681" spans="2:11" x14ac:dyDescent="0.25">
      <c r="B681" s="229" t="s">
        <v>408</v>
      </c>
      <c r="G681" s="298"/>
    </row>
    <row r="682" spans="2:11" x14ac:dyDescent="0.25">
      <c r="G682" s="298"/>
    </row>
    <row r="683" spans="2:11" x14ac:dyDescent="0.25">
      <c r="G683" s="298"/>
    </row>
    <row r="684" spans="2:11" x14ac:dyDescent="0.25">
      <c r="G684" s="298"/>
    </row>
    <row r="685" spans="2:11" x14ac:dyDescent="0.25">
      <c r="F685" s="229" t="s">
        <v>7</v>
      </c>
      <c r="G685" s="298">
        <f>IF(E43=3,E244/G320*EJeff!C14*(G318+E116/2-EJeff!C14/2)*K168*1000,IF(E43=5,E244/G320*(EJeff!C13*(G318+E116/2-EJeff!C13/2)+EJeff!C15*(G318+E116/2-EJeff!C15/2))*K168*1000,IF(E43=7,E244/G320*(EJeff!C12*(G318+E116/2-EJeff!C12/2)+EJeff!C14*(G318+E116/2-EJeff!C14/2)+EJeff!C16*(G318+E116/2-EJeff!C16/2))*K168*1000,"troppi strati errore")))</f>
        <v>9.3833018130729057E-2</v>
      </c>
      <c r="H685" s="229" t="s">
        <v>141</v>
      </c>
    </row>
    <row r="686" spans="2:11" x14ac:dyDescent="0.25">
      <c r="G686" s="298"/>
      <c r="K686" s="229" t="s">
        <v>335</v>
      </c>
    </row>
    <row r="687" spans="2:11" x14ac:dyDescent="0.25">
      <c r="C687" s="229">
        <f>G685</f>
        <v>9.3833018130729057E-2</v>
      </c>
      <c r="D687" s="229" t="str">
        <f>IF(C687&lt;=E687,"≤","&gt;")</f>
        <v>≤</v>
      </c>
      <c r="E687" s="229">
        <f>I78</f>
        <v>0.76800000000000002</v>
      </c>
      <c r="F687" s="229" t="str">
        <f>IF(C687&lt;E687,"Verifica soddisfatta","Verifica non soddisfatta")</f>
        <v>Verifica soddisfatta</v>
      </c>
      <c r="G687" s="298"/>
    </row>
    <row r="688" spans="2:11" x14ac:dyDescent="0.25">
      <c r="G688" s="298"/>
    </row>
    <row r="689" spans="2:8" x14ac:dyDescent="0.25">
      <c r="G689" s="298"/>
    </row>
    <row r="690" spans="2:8" x14ac:dyDescent="0.25">
      <c r="B690" s="229" t="s">
        <v>145</v>
      </c>
      <c r="G690" s="298"/>
    </row>
    <row r="691" spans="2:8" x14ac:dyDescent="0.25">
      <c r="G691" s="298"/>
    </row>
    <row r="692" spans="2:8" x14ac:dyDescent="0.25">
      <c r="B692" s="229" t="s">
        <v>146</v>
      </c>
      <c r="G692" s="298"/>
    </row>
    <row r="693" spans="2:8" x14ac:dyDescent="0.25">
      <c r="G693" s="298"/>
    </row>
    <row r="694" spans="2:8" x14ac:dyDescent="0.25">
      <c r="G694" s="298"/>
    </row>
    <row r="695" spans="2:8" x14ac:dyDescent="0.25">
      <c r="F695" s="229" t="s">
        <v>7</v>
      </c>
      <c r="G695" s="298">
        <f>1*$K$247*$E$224/$G$320*$K$167*10^3</f>
        <v>83.144961273842711</v>
      </c>
      <c r="H695" s="229" t="s">
        <v>101</v>
      </c>
    </row>
    <row r="696" spans="2:8" x14ac:dyDescent="0.25">
      <c r="G696" s="298"/>
    </row>
    <row r="697" spans="2:8" x14ac:dyDescent="0.25">
      <c r="G697" s="298"/>
    </row>
    <row r="698" spans="2:8" x14ac:dyDescent="0.25">
      <c r="G698" s="298"/>
    </row>
    <row r="699" spans="2:8" x14ac:dyDescent="0.25">
      <c r="G699" s="298"/>
    </row>
    <row r="700" spans="2:8" x14ac:dyDescent="0.25">
      <c r="G700" s="298"/>
    </row>
    <row r="701" spans="2:8" x14ac:dyDescent="0.25">
      <c r="B701" s="229" t="s">
        <v>147</v>
      </c>
      <c r="G701" s="298"/>
    </row>
    <row r="702" spans="2:8" x14ac:dyDescent="0.25">
      <c r="G702" s="298"/>
    </row>
    <row r="703" spans="2:8" x14ac:dyDescent="0.25">
      <c r="G703" s="298"/>
    </row>
    <row r="704" spans="2:8" x14ac:dyDescent="0.25">
      <c r="F704" s="229" t="s">
        <v>7</v>
      </c>
      <c r="G704" s="298">
        <f>$K$246/$G$320*$K$167</f>
        <v>7.9281616308525864</v>
      </c>
      <c r="H704" s="229" t="s">
        <v>155</v>
      </c>
    </row>
    <row r="705" spans="2:8" x14ac:dyDescent="0.25">
      <c r="G705" s="298"/>
    </row>
    <row r="706" spans="2:8" x14ac:dyDescent="0.25">
      <c r="G706" s="298"/>
    </row>
    <row r="707" spans="2:8" x14ac:dyDescent="0.25">
      <c r="B707" s="229" t="s">
        <v>140</v>
      </c>
      <c r="G707" s="298"/>
    </row>
    <row r="708" spans="2:8" x14ac:dyDescent="0.25">
      <c r="G708" s="298"/>
    </row>
    <row r="709" spans="2:8" x14ac:dyDescent="0.25">
      <c r="G709" s="298"/>
    </row>
    <row r="710" spans="2:8" x14ac:dyDescent="0.25">
      <c r="F710" s="229" t="s">
        <v>7</v>
      </c>
      <c r="G710" s="298">
        <f>G695*1000/($K$116*$K$117)</f>
        <v>2.1319220839446849</v>
      </c>
      <c r="H710" s="229" t="s">
        <v>141</v>
      </c>
    </row>
    <row r="711" spans="2:8" x14ac:dyDescent="0.25">
      <c r="G711" s="298"/>
    </row>
    <row r="712" spans="2:8" x14ac:dyDescent="0.25">
      <c r="G712" s="298"/>
    </row>
    <row r="713" spans="2:8" x14ac:dyDescent="0.25">
      <c r="F713" s="229" t="s">
        <v>7</v>
      </c>
      <c r="G713" s="298">
        <f>10^6*G704*$K$116/(2*$K$117*$K$116^3/12)</f>
        <v>4.691219899912773</v>
      </c>
      <c r="H713" s="229" t="s">
        <v>141</v>
      </c>
    </row>
    <row r="714" spans="2:8" x14ac:dyDescent="0.25">
      <c r="G714" s="298"/>
    </row>
    <row r="715" spans="2:8" x14ac:dyDescent="0.25">
      <c r="G715" s="298"/>
    </row>
    <row r="716" spans="2:8" x14ac:dyDescent="0.25">
      <c r="B716" s="229" t="s">
        <v>142</v>
      </c>
      <c r="G716" s="298"/>
    </row>
    <row r="717" spans="2:8" x14ac:dyDescent="0.25">
      <c r="G717" s="298"/>
    </row>
    <row r="718" spans="2:8" x14ac:dyDescent="0.25">
      <c r="B718" s="229" t="s">
        <v>154</v>
      </c>
      <c r="G718" s="298"/>
    </row>
    <row r="719" spans="2:8" x14ac:dyDescent="0.25">
      <c r="G719" s="298"/>
    </row>
    <row r="720" spans="2:8" x14ac:dyDescent="0.25">
      <c r="E720" s="229">
        <f>G710/$I$95+G713/$I$94</f>
        <v>0.47891422557575702</v>
      </c>
      <c r="F720" s="229" t="str">
        <f>IF(E720&lt;=G720,"≤","&gt;")</f>
        <v>≤</v>
      </c>
      <c r="G720" s="298">
        <v>1</v>
      </c>
      <c r="H720" s="229" t="str">
        <f>IF(E720&lt;G720,"Verifica soddisfatta","Verifica non soddisfatta")</f>
        <v>Verifica soddisfatta</v>
      </c>
    </row>
    <row r="721" spans="2:8" x14ac:dyDescent="0.25">
      <c r="G721" s="298"/>
    </row>
    <row r="722" spans="2:8" x14ac:dyDescent="0.25">
      <c r="G722" s="298"/>
    </row>
    <row r="723" spans="2:8" x14ac:dyDescent="0.25">
      <c r="G723" s="298"/>
    </row>
    <row r="724" spans="2:8" x14ac:dyDescent="0.25">
      <c r="B724" s="229" t="s">
        <v>144</v>
      </c>
      <c r="G724" s="298"/>
    </row>
    <row r="725" spans="2:8" x14ac:dyDescent="0.25">
      <c r="G725" s="298"/>
    </row>
    <row r="726" spans="2:8" x14ac:dyDescent="0.25">
      <c r="G726" s="298"/>
    </row>
    <row r="727" spans="2:8" x14ac:dyDescent="0.25">
      <c r="G727" s="298"/>
    </row>
    <row r="728" spans="2:8" x14ac:dyDescent="0.25">
      <c r="F728" s="229" t="s">
        <v>7</v>
      </c>
      <c r="G728" s="304">
        <f>'Relazione di Calcolo AT SUPPORT'!G834</f>
        <v>0.4536694148915757</v>
      </c>
      <c r="H728" s="229" t="s">
        <v>141</v>
      </c>
    </row>
    <row r="729" spans="2:8" x14ac:dyDescent="0.25">
      <c r="G729" s="298"/>
    </row>
    <row r="730" spans="2:8" x14ac:dyDescent="0.25">
      <c r="G730" s="298"/>
    </row>
    <row r="731" spans="2:8" x14ac:dyDescent="0.25">
      <c r="G731" s="298"/>
    </row>
    <row r="732" spans="2:8" x14ac:dyDescent="0.25">
      <c r="G732" s="298"/>
    </row>
    <row r="733" spans="2:8" x14ac:dyDescent="0.25">
      <c r="G733" s="298"/>
    </row>
    <row r="734" spans="2:8" x14ac:dyDescent="0.25">
      <c r="G734" s="298"/>
    </row>
    <row r="735" spans="2:8" x14ac:dyDescent="0.25">
      <c r="C735" s="229">
        <f>G728</f>
        <v>0.4536694148915757</v>
      </c>
      <c r="D735" s="229" t="str">
        <f>IF(C735&lt;=E735,"≤","&gt;")</f>
        <v>≤</v>
      </c>
      <c r="E735" s="229">
        <f>$I$99</f>
        <v>1.5008000000000001</v>
      </c>
      <c r="F735" s="229" t="str">
        <f>IF(C735&lt;E735,"Verifica soddisfatta","Verifica non soddisfatta")</f>
        <v>Verifica soddisfatta</v>
      </c>
      <c r="G735" s="298"/>
    </row>
    <row r="736" spans="2:8" x14ac:dyDescent="0.25">
      <c r="G736" s="298"/>
    </row>
    <row r="737" spans="2:8" x14ac:dyDescent="0.25">
      <c r="B737" s="229" t="s">
        <v>441</v>
      </c>
      <c r="G737" s="298"/>
    </row>
    <row r="738" spans="2:8" x14ac:dyDescent="0.25">
      <c r="G738" s="298"/>
    </row>
    <row r="739" spans="2:8" x14ac:dyDescent="0.25">
      <c r="B739" s="229" t="s">
        <v>150</v>
      </c>
      <c r="G739" s="298"/>
    </row>
    <row r="740" spans="2:8" x14ac:dyDescent="0.25">
      <c r="G740" s="298"/>
    </row>
    <row r="741" spans="2:8" x14ac:dyDescent="0.25">
      <c r="G741" s="298"/>
    </row>
    <row r="742" spans="2:8" x14ac:dyDescent="0.25">
      <c r="F742" s="229" t="s">
        <v>7</v>
      </c>
      <c r="G742" s="298">
        <f>$E$247*$G$312*$G$318*$E$143*$K$168/$G$320</f>
        <v>55.429974182561807</v>
      </c>
      <c r="H742" s="229" t="s">
        <v>101</v>
      </c>
    </row>
    <row r="743" spans="2:8" x14ac:dyDescent="0.25">
      <c r="G743" s="298"/>
    </row>
    <row r="744" spans="2:8" x14ac:dyDescent="0.25">
      <c r="G744" s="298"/>
    </row>
    <row r="745" spans="2:8" x14ac:dyDescent="0.25">
      <c r="B745" s="229" t="s">
        <v>151</v>
      </c>
      <c r="G745" s="298"/>
    </row>
    <row r="746" spans="2:8" x14ac:dyDescent="0.25">
      <c r="G746" s="298"/>
    </row>
    <row r="747" spans="2:8" x14ac:dyDescent="0.25">
      <c r="F747" s="229" t="s">
        <v>7</v>
      </c>
      <c r="G747" s="298">
        <f>E146/1000</f>
        <v>90.82831311705705</v>
      </c>
      <c r="H747" s="229" t="s">
        <v>101</v>
      </c>
    </row>
    <row r="748" spans="2:8" x14ac:dyDescent="0.25">
      <c r="G748" s="298"/>
    </row>
    <row r="749" spans="2:8" x14ac:dyDescent="0.25">
      <c r="G749" s="298"/>
    </row>
    <row r="750" spans="2:8" x14ac:dyDescent="0.25">
      <c r="B750" s="229" t="s">
        <v>152</v>
      </c>
      <c r="G750" s="298"/>
    </row>
    <row r="751" spans="2:8" x14ac:dyDescent="0.25">
      <c r="G751" s="298"/>
    </row>
    <row r="752" spans="2:8" x14ac:dyDescent="0.25">
      <c r="G752" s="298"/>
    </row>
    <row r="753" spans="2:8" x14ac:dyDescent="0.25">
      <c r="G753" s="298"/>
    </row>
    <row r="754" spans="2:8" x14ac:dyDescent="0.25">
      <c r="E754" s="229">
        <f>G742</f>
        <v>55.429974182561807</v>
      </c>
      <c r="F754" s="229" t="str">
        <f>IF(E754&lt;=G754,"≤","&gt;")</f>
        <v>≤</v>
      </c>
      <c r="G754" s="298">
        <f>G747</f>
        <v>90.82831311705705</v>
      </c>
      <c r="H754" s="229" t="str">
        <f>IF(E754&lt;=G754,"Verifica soddisfatta","Verifica non soddisfatta")</f>
        <v>Verifica soddisfatta</v>
      </c>
    </row>
    <row r="755" spans="2:8" x14ac:dyDescent="0.25">
      <c r="G755" s="298"/>
    </row>
    <row r="756" spans="2:8" x14ac:dyDescent="0.25">
      <c r="B756" s="229" t="s">
        <v>427</v>
      </c>
      <c r="G756" s="298"/>
    </row>
    <row r="757" spans="2:8" x14ac:dyDescent="0.25">
      <c r="B757" s="229" t="s">
        <v>428</v>
      </c>
      <c r="C757" s="229" t="s">
        <v>7</v>
      </c>
      <c r="D757" s="229">
        <f>G742*1000/E272</f>
        <v>0.41782344317472037</v>
      </c>
      <c r="G757" s="298"/>
    </row>
    <row r="758" spans="2:8" x14ac:dyDescent="0.25">
      <c r="G758" s="298"/>
    </row>
    <row r="759" spans="2:8" x14ac:dyDescent="0.25">
      <c r="B759" s="229" t="s">
        <v>442</v>
      </c>
      <c r="G759" s="298"/>
    </row>
    <row r="760" spans="2:8" x14ac:dyDescent="0.25">
      <c r="G760" s="298"/>
    </row>
    <row r="761" spans="2:8" x14ac:dyDescent="0.25">
      <c r="B761" s="229" t="s">
        <v>440</v>
      </c>
      <c r="G761" s="298"/>
    </row>
    <row r="762" spans="2:8" x14ac:dyDescent="0.25">
      <c r="G762" s="298"/>
    </row>
    <row r="763" spans="2:8" x14ac:dyDescent="0.25">
      <c r="G763" s="298"/>
    </row>
    <row r="764" spans="2:8" x14ac:dyDescent="0.25">
      <c r="F764" s="229" t="s">
        <v>7</v>
      </c>
      <c r="G764" s="298">
        <f>G742/2</f>
        <v>27.714987091280904</v>
      </c>
      <c r="H764" s="229" t="s">
        <v>101</v>
      </c>
    </row>
    <row r="765" spans="2:8" x14ac:dyDescent="0.25">
      <c r="G765" s="298"/>
    </row>
    <row r="766" spans="2:8" x14ac:dyDescent="0.25">
      <c r="G766" s="298"/>
    </row>
    <row r="767" spans="2:8" x14ac:dyDescent="0.25">
      <c r="B767" s="229" t="s">
        <v>151</v>
      </c>
      <c r="G767" s="298"/>
    </row>
    <row r="768" spans="2:8" x14ac:dyDescent="0.25">
      <c r="G768" s="298"/>
    </row>
    <row r="769" spans="2:8" x14ac:dyDescent="0.25">
      <c r="F769" s="229" t="s">
        <v>7</v>
      </c>
      <c r="G769" s="298">
        <f>$K$146/1000</f>
        <v>45.414156558528525</v>
      </c>
      <c r="H769" s="229" t="s">
        <v>101</v>
      </c>
    </row>
    <row r="770" spans="2:8" x14ac:dyDescent="0.25">
      <c r="G770" s="298"/>
    </row>
    <row r="771" spans="2:8" x14ac:dyDescent="0.25">
      <c r="B771" s="229" t="s">
        <v>152</v>
      </c>
      <c r="G771" s="298"/>
    </row>
    <row r="772" spans="2:8" x14ac:dyDescent="0.25">
      <c r="G772" s="298"/>
    </row>
    <row r="773" spans="2:8" x14ac:dyDescent="0.25">
      <c r="G773" s="298"/>
    </row>
    <row r="774" spans="2:8" x14ac:dyDescent="0.25">
      <c r="G774" s="298"/>
    </row>
    <row r="775" spans="2:8" x14ac:dyDescent="0.25">
      <c r="G775" s="298"/>
    </row>
    <row r="776" spans="2:8" x14ac:dyDescent="0.25">
      <c r="E776" s="229">
        <f>G764</f>
        <v>27.714987091280904</v>
      </c>
      <c r="F776" s="229" t="str">
        <f>IF(E776&lt;=G776,"≤","&gt;")</f>
        <v>≤</v>
      </c>
      <c r="G776" s="298">
        <f>G769</f>
        <v>45.414156558528525</v>
      </c>
      <c r="H776" s="229" t="str">
        <f>IF(E776&lt;G776,"Verifica soddisfatta","Verifica non soddisfatta")</f>
        <v>Verifica soddisfatta</v>
      </c>
    </row>
    <row r="777" spans="2:8" x14ac:dyDescent="0.25">
      <c r="G777" s="298"/>
    </row>
    <row r="778" spans="2:8" x14ac:dyDescent="0.25">
      <c r="B778" s="229" t="s">
        <v>156</v>
      </c>
      <c r="G778" s="298"/>
    </row>
    <row r="779" spans="2:8" x14ac:dyDescent="0.25">
      <c r="G779" s="298"/>
    </row>
    <row r="780" spans="2:8" x14ac:dyDescent="0.25">
      <c r="B780" s="229" t="s">
        <v>157</v>
      </c>
      <c r="G780" s="298"/>
    </row>
    <row r="781" spans="2:8" x14ac:dyDescent="0.25">
      <c r="G781" s="298"/>
    </row>
    <row r="782" spans="2:8" x14ac:dyDescent="0.25">
      <c r="G782" s="298"/>
    </row>
    <row r="783" spans="2:8" ht="18" x14ac:dyDescent="0.25">
      <c r="B783" s="229" t="s">
        <v>158</v>
      </c>
      <c r="E783" s="229" t="s">
        <v>954</v>
      </c>
      <c r="F783" s="229" t="s">
        <v>7</v>
      </c>
      <c r="G783" s="298">
        <f>E174</f>
        <v>282731673727.9632</v>
      </c>
      <c r="H783" s="229" t="s">
        <v>955</v>
      </c>
    </row>
    <row r="784" spans="2:8" x14ac:dyDescent="0.25">
      <c r="G784" s="298"/>
    </row>
    <row r="785" spans="2:8" ht="18" x14ac:dyDescent="0.25">
      <c r="B785" s="229" t="s">
        <v>159</v>
      </c>
      <c r="E785" s="229" t="s">
        <v>956</v>
      </c>
      <c r="F785" s="229" t="s">
        <v>7</v>
      </c>
      <c r="G785" s="298">
        <f>E175</f>
        <v>403902391.03994733</v>
      </c>
      <c r="H785" s="229" t="s">
        <v>4</v>
      </c>
    </row>
    <row r="786" spans="2:8" x14ac:dyDescent="0.25">
      <c r="G786" s="298"/>
    </row>
    <row r="787" spans="2:8" x14ac:dyDescent="0.25">
      <c r="B787" s="229" t="s">
        <v>160</v>
      </c>
      <c r="G787" s="298"/>
    </row>
    <row r="788" spans="2:8" x14ac:dyDescent="0.25">
      <c r="G788" s="298"/>
    </row>
    <row r="789" spans="2:8" x14ac:dyDescent="0.25">
      <c r="G789" s="298"/>
    </row>
    <row r="790" spans="2:8" ht="18" x14ac:dyDescent="0.25">
      <c r="B790" s="229" t="s">
        <v>158</v>
      </c>
      <c r="E790" s="229" t="s">
        <v>957</v>
      </c>
      <c r="F790" s="229" t="s">
        <v>7</v>
      </c>
      <c r="G790" s="298">
        <f>K174</f>
        <v>2526550000000</v>
      </c>
      <c r="H790" s="229" t="s">
        <v>955</v>
      </c>
    </row>
    <row r="791" spans="2:8" x14ac:dyDescent="0.25">
      <c r="G791" s="298"/>
    </row>
    <row r="792" spans="2:8" ht="18" x14ac:dyDescent="0.25">
      <c r="B792" s="229" t="s">
        <v>159</v>
      </c>
      <c r="E792" s="229" t="s">
        <v>958</v>
      </c>
      <c r="F792" s="229" t="s">
        <v>7</v>
      </c>
      <c r="G792" s="298">
        <f>K175</f>
        <v>448500000</v>
      </c>
      <c r="H792" s="229" t="s">
        <v>4</v>
      </c>
    </row>
    <row r="793" spans="2:8" x14ac:dyDescent="0.25">
      <c r="G793" s="298"/>
    </row>
    <row r="794" spans="2:8" x14ac:dyDescent="0.25">
      <c r="B794" s="229" t="s">
        <v>113</v>
      </c>
      <c r="G794" s="298"/>
    </row>
    <row r="795" spans="2:8" x14ac:dyDescent="0.25">
      <c r="G795" s="298"/>
    </row>
    <row r="796" spans="2:8" ht="18" x14ac:dyDescent="0.25">
      <c r="B796" s="229" t="s">
        <v>158</v>
      </c>
      <c r="E796" s="229" t="s">
        <v>959</v>
      </c>
      <c r="F796" s="229" t="s">
        <v>7</v>
      </c>
      <c r="G796" s="298">
        <f>G790+G783</f>
        <v>2809281673727.9634</v>
      </c>
      <c r="H796" s="229" t="s">
        <v>955</v>
      </c>
    </row>
    <row r="797" spans="2:8" x14ac:dyDescent="0.25">
      <c r="G797" s="298"/>
    </row>
    <row r="798" spans="2:8" x14ac:dyDescent="0.25">
      <c r="G798" s="298"/>
    </row>
    <row r="799" spans="2:8" ht="18" x14ac:dyDescent="0.25">
      <c r="B799" s="229" t="s">
        <v>159</v>
      </c>
      <c r="E799" s="229" t="s">
        <v>960</v>
      </c>
      <c r="F799" s="229" t="s">
        <v>7</v>
      </c>
      <c r="G799" s="298">
        <f>(G792*G785)/(G792+G785)</f>
        <v>212517262.13532746</v>
      </c>
      <c r="H799" s="229" t="s">
        <v>4</v>
      </c>
    </row>
    <row r="800" spans="2:8" x14ac:dyDescent="0.25">
      <c r="G800" s="298"/>
    </row>
    <row r="801" spans="2:8" x14ac:dyDescent="0.25">
      <c r="B801" s="229" t="s">
        <v>132</v>
      </c>
      <c r="G801" s="298"/>
    </row>
    <row r="802" spans="2:8" x14ac:dyDescent="0.25">
      <c r="G802" s="298"/>
    </row>
    <row r="803" spans="2:8" x14ac:dyDescent="0.25">
      <c r="E803" s="229" t="s">
        <v>133</v>
      </c>
      <c r="F803" s="229" t="s">
        <v>7</v>
      </c>
      <c r="G803" s="298">
        <f>E182</f>
        <v>170</v>
      </c>
      <c r="H803" s="229" t="s">
        <v>65</v>
      </c>
    </row>
    <row r="804" spans="2:8" x14ac:dyDescent="0.25">
      <c r="G804" s="298"/>
    </row>
    <row r="805" spans="2:8" x14ac:dyDescent="0.25">
      <c r="B805" s="229" t="s">
        <v>966</v>
      </c>
      <c r="G805" s="298"/>
    </row>
    <row r="806" spans="2:8" x14ac:dyDescent="0.25">
      <c r="G806" s="298"/>
    </row>
    <row r="807" spans="2:8" ht="15" x14ac:dyDescent="0.25">
      <c r="B807" s="229" t="s">
        <v>158</v>
      </c>
      <c r="F807" s="229" t="s">
        <v>7</v>
      </c>
      <c r="G807" s="298">
        <f>G796+G799*G803^2</f>
        <v>8951030549438.9277</v>
      </c>
      <c r="H807" s="229" t="s">
        <v>955</v>
      </c>
    </row>
    <row r="808" spans="2:8" x14ac:dyDescent="0.25">
      <c r="G808" s="298"/>
    </row>
    <row r="809" spans="2:8" x14ac:dyDescent="0.25">
      <c r="B809" s="229" t="s">
        <v>118</v>
      </c>
      <c r="G809" s="298"/>
    </row>
    <row r="810" spans="2:8" x14ac:dyDescent="0.25">
      <c r="G810" s="298"/>
    </row>
    <row r="811" spans="2:8" x14ac:dyDescent="0.25">
      <c r="B811" s="229" t="s">
        <v>119</v>
      </c>
      <c r="G811" s="298"/>
    </row>
    <row r="812" spans="2:8" x14ac:dyDescent="0.25">
      <c r="G812" s="298"/>
    </row>
    <row r="813" spans="2:8" x14ac:dyDescent="0.25">
      <c r="G813" s="298"/>
    </row>
    <row r="814" spans="2:8" x14ac:dyDescent="0.25">
      <c r="F814" s="229" t="s">
        <v>7</v>
      </c>
      <c r="G814" s="298">
        <f>1/(1+((3.14^2)*G785*'Calculation Report'!E143)/('Calculation Report'!E141*'Calculation Report'!E119^2))</f>
        <v>0.68467058371039302</v>
      </c>
    </row>
    <row r="815" spans="2:8" x14ac:dyDescent="0.25">
      <c r="G815" s="298"/>
    </row>
    <row r="816" spans="2:8" x14ac:dyDescent="0.25">
      <c r="G816" s="298"/>
    </row>
    <row r="817" spans="2:8" x14ac:dyDescent="0.25">
      <c r="G817" s="298"/>
    </row>
    <row r="818" spans="2:8" x14ac:dyDescent="0.25">
      <c r="F818" s="229" t="s">
        <v>7</v>
      </c>
      <c r="G818" s="298">
        <f>(G814*G785*G803)/(G814*G785+G792)</f>
        <v>64.84029712349566</v>
      </c>
      <c r="H818" s="229" t="s">
        <v>65</v>
      </c>
    </row>
    <row r="819" spans="2:8" x14ac:dyDescent="0.25">
      <c r="G819" s="298"/>
    </row>
    <row r="820" spans="2:8" x14ac:dyDescent="0.25">
      <c r="G820" s="298"/>
    </row>
    <row r="821" spans="2:8" x14ac:dyDescent="0.25">
      <c r="F821" s="229" t="s">
        <v>7</v>
      </c>
      <c r="G821" s="298">
        <f>G803-G818</f>
        <v>105.15970287650434</v>
      </c>
      <c r="H821" s="229" t="s">
        <v>65</v>
      </c>
    </row>
    <row r="822" spans="2:8" x14ac:dyDescent="0.25">
      <c r="G822" s="298"/>
    </row>
    <row r="823" spans="2:8" ht="18" x14ac:dyDescent="0.25">
      <c r="E823" s="229" t="s">
        <v>967</v>
      </c>
      <c r="F823" s="229" t="s">
        <v>7</v>
      </c>
      <c r="G823" s="298">
        <f>G783+G790+G792*G818^2+G785*G821^2*G814</f>
        <v>7753030127908.8896</v>
      </c>
      <c r="H823" s="229" t="s">
        <v>955</v>
      </c>
    </row>
    <row r="824" spans="2:8" x14ac:dyDescent="0.25">
      <c r="B824" s="229" t="s">
        <v>121</v>
      </c>
      <c r="G824" s="298"/>
    </row>
    <row r="825" spans="2:8" x14ac:dyDescent="0.25">
      <c r="G825" s="298"/>
    </row>
    <row r="826" spans="2:8" x14ac:dyDescent="0.25">
      <c r="G826" s="298"/>
    </row>
    <row r="827" spans="2:8" x14ac:dyDescent="0.25">
      <c r="F827" s="229" t="s">
        <v>7</v>
      </c>
      <c r="G827" s="298">
        <f>(G823-G796)/(G807-G796)</f>
        <v>0.80494148396919607</v>
      </c>
    </row>
    <row r="828" spans="2:8" x14ac:dyDescent="0.25">
      <c r="G828" s="298"/>
    </row>
    <row r="829" spans="2:8" x14ac:dyDescent="0.25">
      <c r="G829" s="298"/>
    </row>
    <row r="830" spans="2:8" x14ac:dyDescent="0.25">
      <c r="G830" s="298"/>
    </row>
    <row r="831" spans="2:8" ht="18" x14ac:dyDescent="0.25">
      <c r="B831" s="229" t="s">
        <v>968</v>
      </c>
      <c r="G831" s="298"/>
    </row>
    <row r="832" spans="2:8" ht="13.5" customHeight="1" x14ac:dyDescent="0.25">
      <c r="G832" s="298"/>
    </row>
    <row r="833" spans="2:8" x14ac:dyDescent="0.25">
      <c r="B833" s="229" t="s">
        <v>163</v>
      </c>
      <c r="G833" s="298"/>
    </row>
    <row r="834" spans="2:8" x14ac:dyDescent="0.25">
      <c r="G834" s="298"/>
    </row>
    <row r="835" spans="2:8" x14ac:dyDescent="0.25">
      <c r="F835" s="229" t="s">
        <v>7</v>
      </c>
      <c r="G835" s="298">
        <f>$C$80/(1+$E$150)</f>
        <v>6508.875739644971</v>
      </c>
      <c r="H835" s="229" t="s">
        <v>141</v>
      </c>
    </row>
    <row r="836" spans="2:8" x14ac:dyDescent="0.25">
      <c r="G836" s="298"/>
    </row>
    <row r="837" spans="2:8" x14ac:dyDescent="0.25">
      <c r="G837" s="298"/>
    </row>
    <row r="838" spans="2:8" x14ac:dyDescent="0.25">
      <c r="B838" s="229" t="s">
        <v>164</v>
      </c>
      <c r="G838" s="298"/>
    </row>
    <row r="839" spans="2:8" x14ac:dyDescent="0.25">
      <c r="G839" s="298"/>
    </row>
    <row r="840" spans="2:8" x14ac:dyDescent="0.25">
      <c r="F840" s="229" t="s">
        <v>7</v>
      </c>
      <c r="G840" s="298">
        <f>$C$102/(1+$E$150)</f>
        <v>6804.7337278106515</v>
      </c>
      <c r="H840" s="229" t="s">
        <v>141</v>
      </c>
    </row>
    <row r="841" spans="2:8" x14ac:dyDescent="0.25">
      <c r="G841" s="298"/>
    </row>
    <row r="842" spans="2:8" x14ac:dyDescent="0.25">
      <c r="G842" s="298"/>
    </row>
    <row r="843" spans="2:8" x14ac:dyDescent="0.25">
      <c r="B843" s="229" t="s">
        <v>126</v>
      </c>
      <c r="G843" s="298"/>
    </row>
    <row r="844" spans="2:8" x14ac:dyDescent="0.25">
      <c r="G844" s="298"/>
    </row>
    <row r="845" spans="2:8" x14ac:dyDescent="0.25">
      <c r="G845" s="298"/>
    </row>
    <row r="846" spans="2:8" x14ac:dyDescent="0.25">
      <c r="F846" s="229" t="s">
        <v>7</v>
      </c>
      <c r="G846" s="298">
        <f>'Calculation Report'!E141/(1+'Calculation Report'!E150)</f>
        <v>142122.78106508875</v>
      </c>
      <c r="H846" s="229" t="s">
        <v>78</v>
      </c>
    </row>
    <row r="847" spans="2:8" x14ac:dyDescent="0.25">
      <c r="G847" s="298"/>
    </row>
    <row r="848" spans="2:8" x14ac:dyDescent="0.25">
      <c r="G848" s="298"/>
    </row>
    <row r="849" spans="2:8" x14ac:dyDescent="0.25">
      <c r="G849" s="298"/>
    </row>
    <row r="850" spans="2:8" x14ac:dyDescent="0.25">
      <c r="B850" s="229" t="s">
        <v>157</v>
      </c>
      <c r="G850" s="298"/>
    </row>
    <row r="851" spans="2:8" x14ac:dyDescent="0.25">
      <c r="G851" s="298"/>
    </row>
    <row r="852" spans="2:8" x14ac:dyDescent="0.25">
      <c r="G852" s="298"/>
    </row>
    <row r="853" spans="2:8" ht="18" x14ac:dyDescent="0.25">
      <c r="B853" s="229" t="s">
        <v>158</v>
      </c>
      <c r="E853" s="229" t="s">
        <v>954</v>
      </c>
      <c r="F853" s="229" t="s">
        <v>7</v>
      </c>
      <c r="G853" s="298">
        <f>G835*E45</f>
        <v>167296848359.74155</v>
      </c>
      <c r="H853" s="229" t="s">
        <v>955</v>
      </c>
    </row>
    <row r="854" spans="2:8" x14ac:dyDescent="0.25">
      <c r="G854" s="298"/>
    </row>
    <row r="855" spans="2:8" x14ac:dyDescent="0.25">
      <c r="G855" s="298"/>
    </row>
    <row r="856" spans="2:8" ht="19.149999999999999" customHeight="1" x14ac:dyDescent="0.25">
      <c r="B856" s="229" t="s">
        <v>159</v>
      </c>
      <c r="E856" s="229" t="s">
        <v>956</v>
      </c>
      <c r="F856" s="229" t="s">
        <v>7</v>
      </c>
      <c r="G856" s="298">
        <f>G835*E46</f>
        <v>238995497.6567736</v>
      </c>
      <c r="H856" s="229" t="s">
        <v>4</v>
      </c>
    </row>
    <row r="857" spans="2:8" x14ac:dyDescent="0.25">
      <c r="G857" s="298"/>
    </row>
    <row r="858" spans="2:8" x14ac:dyDescent="0.25">
      <c r="G858" s="298"/>
    </row>
    <row r="859" spans="2:8" x14ac:dyDescent="0.25">
      <c r="B859" s="229" t="s">
        <v>160</v>
      </c>
      <c r="G859" s="298"/>
    </row>
    <row r="860" spans="2:8" x14ac:dyDescent="0.25">
      <c r="G860" s="298"/>
    </row>
    <row r="861" spans="2:8" x14ac:dyDescent="0.25">
      <c r="G861" s="298"/>
    </row>
    <row r="862" spans="2:8" ht="18" x14ac:dyDescent="0.25">
      <c r="B862" s="229" t="s">
        <v>158</v>
      </c>
      <c r="E862" s="229" t="s">
        <v>957</v>
      </c>
      <c r="F862" s="229" t="s">
        <v>7</v>
      </c>
      <c r="G862" s="298">
        <f>G840*K117*K116^3/12</f>
        <v>1495000000000</v>
      </c>
      <c r="H862" s="229" t="s">
        <v>955</v>
      </c>
    </row>
    <row r="863" spans="2:8" x14ac:dyDescent="0.25">
      <c r="G863" s="298"/>
    </row>
    <row r="864" spans="2:8" x14ac:dyDescent="0.25">
      <c r="G864" s="298"/>
    </row>
    <row r="865" spans="2:8" ht="18" x14ac:dyDescent="0.25">
      <c r="B865" s="229" t="s">
        <v>159</v>
      </c>
      <c r="E865" s="229" t="s">
        <v>958</v>
      </c>
      <c r="F865" s="229" t="s">
        <v>7</v>
      </c>
      <c r="G865" s="298">
        <f>G840*K116*K117</f>
        <v>265384615.38461542</v>
      </c>
      <c r="H865" s="229" t="s">
        <v>4</v>
      </c>
    </row>
    <row r="866" spans="2:8" x14ac:dyDescent="0.25">
      <c r="G866" s="298"/>
    </row>
    <row r="867" spans="2:8" x14ac:dyDescent="0.25">
      <c r="B867" s="229" t="s">
        <v>165</v>
      </c>
      <c r="G867" s="298"/>
    </row>
    <row r="868" spans="2:8" x14ac:dyDescent="0.25">
      <c r="G868" s="298"/>
    </row>
    <row r="869" spans="2:8" ht="18" x14ac:dyDescent="0.25">
      <c r="B869" s="229" t="s">
        <v>158</v>
      </c>
      <c r="E869" s="229" t="s">
        <v>969</v>
      </c>
      <c r="F869" s="229" t="s">
        <v>7</v>
      </c>
      <c r="G869" s="298">
        <f>G862+G853</f>
        <v>1662296848359.7415</v>
      </c>
      <c r="H869" s="229" t="s">
        <v>955</v>
      </c>
    </row>
    <row r="870" spans="2:8" x14ac:dyDescent="0.25">
      <c r="G870" s="298"/>
    </row>
    <row r="871" spans="2:8" x14ac:dyDescent="0.25">
      <c r="G871" s="298"/>
    </row>
    <row r="872" spans="2:8" ht="18" x14ac:dyDescent="0.25">
      <c r="B872" s="229" t="s">
        <v>159</v>
      </c>
      <c r="E872" s="229" t="s">
        <v>963</v>
      </c>
      <c r="F872" s="229" t="s">
        <v>7</v>
      </c>
      <c r="G872" s="298">
        <f>(G865*G856)/(G865+G856)</f>
        <v>125749859.25167307</v>
      </c>
      <c r="H872" s="229" t="s">
        <v>4</v>
      </c>
    </row>
    <row r="873" spans="2:8" x14ac:dyDescent="0.25">
      <c r="G873" s="298"/>
    </row>
    <row r="874" spans="2:8" x14ac:dyDescent="0.25">
      <c r="G874" s="298"/>
    </row>
    <row r="875" spans="2:8" x14ac:dyDescent="0.25">
      <c r="B875" s="229" t="s">
        <v>132</v>
      </c>
      <c r="G875" s="298"/>
    </row>
    <row r="876" spans="2:8" ht="15.75" customHeight="1" x14ac:dyDescent="0.25">
      <c r="G876" s="298"/>
    </row>
    <row r="877" spans="2:8" x14ac:dyDescent="0.25">
      <c r="E877" s="229" t="s">
        <v>133</v>
      </c>
      <c r="F877" s="229" t="s">
        <v>7</v>
      </c>
      <c r="G877" s="298">
        <f>G803</f>
        <v>170</v>
      </c>
      <c r="H877" s="229" t="s">
        <v>65</v>
      </c>
    </row>
    <row r="878" spans="2:8" x14ac:dyDescent="0.25">
      <c r="G878" s="298"/>
    </row>
    <row r="879" spans="2:8" x14ac:dyDescent="0.25">
      <c r="B879" s="229" t="s">
        <v>970</v>
      </c>
      <c r="G879" s="298"/>
    </row>
    <row r="880" spans="2:8" x14ac:dyDescent="0.25">
      <c r="G880" s="298"/>
    </row>
    <row r="881" spans="2:8" ht="15" x14ac:dyDescent="0.25">
      <c r="B881" s="229" t="s">
        <v>158</v>
      </c>
      <c r="F881" s="229" t="s">
        <v>7</v>
      </c>
      <c r="G881" s="298">
        <f>G869+G872*G877^2</f>
        <v>5296467780733.0928</v>
      </c>
      <c r="H881" s="229" t="s">
        <v>955</v>
      </c>
    </row>
    <row r="882" spans="2:8" x14ac:dyDescent="0.25">
      <c r="G882" s="298"/>
    </row>
    <row r="883" spans="2:8" x14ac:dyDescent="0.25">
      <c r="B883" s="229" t="s">
        <v>118</v>
      </c>
      <c r="G883" s="298"/>
    </row>
    <row r="884" spans="2:8" x14ac:dyDescent="0.25">
      <c r="G884" s="298"/>
    </row>
    <row r="885" spans="2:8" x14ac:dyDescent="0.25">
      <c r="B885" s="229" t="s">
        <v>119</v>
      </c>
      <c r="G885" s="298"/>
    </row>
    <row r="886" spans="2:8" x14ac:dyDescent="0.25">
      <c r="G886" s="298"/>
    </row>
    <row r="887" spans="2:8" x14ac:dyDescent="0.25">
      <c r="G887" s="298"/>
    </row>
    <row r="888" spans="2:8" x14ac:dyDescent="0.25">
      <c r="F888" s="229" t="s">
        <v>7</v>
      </c>
      <c r="G888" s="298">
        <f>1/(1+((3.14^2)*G856*E143)/(G846*E119^2))</f>
        <v>0.68467058371039302</v>
      </c>
    </row>
    <row r="889" spans="2:8" x14ac:dyDescent="0.25">
      <c r="G889" s="298"/>
    </row>
    <row r="890" spans="2:8" x14ac:dyDescent="0.25">
      <c r="G890" s="298"/>
    </row>
    <row r="891" spans="2:8" x14ac:dyDescent="0.25">
      <c r="G891" s="298"/>
    </row>
    <row r="892" spans="2:8" x14ac:dyDescent="0.25">
      <c r="F892" s="229" t="s">
        <v>7</v>
      </c>
      <c r="G892" s="298">
        <f>(G888*G856*G877)/(G888*G856+G865)</f>
        <v>64.84029712349566</v>
      </c>
      <c r="H892" s="229" t="s">
        <v>65</v>
      </c>
    </row>
    <row r="893" spans="2:8" x14ac:dyDescent="0.25">
      <c r="G893" s="298"/>
    </row>
    <row r="894" spans="2:8" x14ac:dyDescent="0.25">
      <c r="G894" s="298"/>
    </row>
    <row r="895" spans="2:8" x14ac:dyDescent="0.25">
      <c r="F895" s="229" t="s">
        <v>7</v>
      </c>
      <c r="G895" s="298">
        <f>G877-G892</f>
        <v>105.15970287650434</v>
      </c>
      <c r="H895" s="229" t="s">
        <v>65</v>
      </c>
    </row>
    <row r="896" spans="2:8" x14ac:dyDescent="0.25">
      <c r="G896" s="298"/>
    </row>
    <row r="897" spans="2:8" x14ac:dyDescent="0.25">
      <c r="G897" s="298"/>
    </row>
    <row r="898" spans="2:8" ht="18" x14ac:dyDescent="0.25">
      <c r="E898" s="229" t="s">
        <v>971</v>
      </c>
      <c r="F898" s="229" t="s">
        <v>7</v>
      </c>
      <c r="G898" s="298">
        <f>G853+G862+G865*G892^2+G856*G895^2*G888</f>
        <v>4587591791662.0654</v>
      </c>
      <c r="H898" s="229" t="s">
        <v>120</v>
      </c>
    </row>
    <row r="899" spans="2:8" x14ac:dyDescent="0.25">
      <c r="G899" s="298"/>
    </row>
    <row r="900" spans="2:8" x14ac:dyDescent="0.25">
      <c r="B900" s="229" t="s">
        <v>121</v>
      </c>
      <c r="G900" s="298"/>
    </row>
    <row r="901" spans="2:8" x14ac:dyDescent="0.25">
      <c r="G901" s="298"/>
    </row>
    <row r="902" spans="2:8" x14ac:dyDescent="0.25">
      <c r="G902" s="298"/>
    </row>
    <row r="903" spans="2:8" x14ac:dyDescent="0.25">
      <c r="F903" s="229" t="s">
        <v>7</v>
      </c>
      <c r="G903" s="298">
        <f>(G898-G869)/(G881-G869)</f>
        <v>0.80494148396919651</v>
      </c>
    </row>
    <row r="904" spans="2:8" x14ac:dyDescent="0.25">
      <c r="G904" s="298"/>
    </row>
    <row r="905" spans="2:8" x14ac:dyDescent="0.25">
      <c r="G905" s="298"/>
    </row>
    <row r="906" spans="2:8" x14ac:dyDescent="0.25">
      <c r="G906" s="298"/>
    </row>
    <row r="907" spans="2:8" x14ac:dyDescent="0.25">
      <c r="G907" s="298"/>
    </row>
    <row r="908" spans="2:8" x14ac:dyDescent="0.25">
      <c r="G908" s="298"/>
    </row>
    <row r="909" spans="2:8" x14ac:dyDescent="0.25">
      <c r="B909" s="229" t="s">
        <v>166</v>
      </c>
      <c r="G909" s="298"/>
    </row>
    <row r="910" spans="2:8" x14ac:dyDescent="0.25">
      <c r="G910" s="298"/>
    </row>
    <row r="911" spans="2:8" x14ac:dyDescent="0.25">
      <c r="B911" s="229" t="s">
        <v>167</v>
      </c>
      <c r="G911" s="298"/>
    </row>
    <row r="912" spans="2:8" x14ac:dyDescent="0.25">
      <c r="G912" s="298"/>
    </row>
    <row r="913" spans="2:8" x14ac:dyDescent="0.25">
      <c r="G913" s="298"/>
    </row>
    <row r="914" spans="2:8" x14ac:dyDescent="0.25">
      <c r="G914" s="298"/>
    </row>
    <row r="915" spans="2:8" x14ac:dyDescent="0.25">
      <c r="G915" s="298"/>
    </row>
    <row r="916" spans="2:8" x14ac:dyDescent="0.25">
      <c r="B916" s="229" t="s">
        <v>168</v>
      </c>
      <c r="G916" s="298"/>
    </row>
    <row r="917" spans="2:8" ht="18" x14ac:dyDescent="0.25">
      <c r="E917" s="229" t="s">
        <v>972</v>
      </c>
      <c r="F917" s="229" t="s">
        <v>7</v>
      </c>
      <c r="G917" s="298">
        <f>5/384*1.1*'Calculation Report'!E157*'Calculation Report'!$E$119^4/'Calculation Report'!G823</f>
        <v>4.7884503719854861</v>
      </c>
      <c r="H917" s="229" t="s">
        <v>65</v>
      </c>
    </row>
    <row r="918" spans="2:8" x14ac:dyDescent="0.25">
      <c r="G918" s="298"/>
    </row>
    <row r="919" spans="2:8" x14ac:dyDescent="0.25">
      <c r="B919" s="229" t="s">
        <v>169</v>
      </c>
      <c r="G919" s="298"/>
    </row>
    <row r="920" spans="2:8" ht="18" x14ac:dyDescent="0.25">
      <c r="E920" s="229" t="s">
        <v>973</v>
      </c>
      <c r="F920" s="229" t="s">
        <v>7</v>
      </c>
      <c r="G920" s="298">
        <f>5/384*1.1*'Calculation Report'!E158*'Calculation Report'!$E$119^4/'Calculation Report'!G823</f>
        <v>3.8307602975883892</v>
      </c>
      <c r="H920" s="229" t="s">
        <v>65</v>
      </c>
    </row>
    <row r="921" spans="2:8" x14ac:dyDescent="0.25">
      <c r="G921" s="298"/>
    </row>
    <row r="922" spans="2:8" x14ac:dyDescent="0.25">
      <c r="B922" s="229" t="s">
        <v>251</v>
      </c>
      <c r="G922" s="298"/>
    </row>
    <row r="923" spans="2:8" x14ac:dyDescent="0.25">
      <c r="G923" s="298"/>
    </row>
    <row r="924" spans="2:8" ht="18" x14ac:dyDescent="0.25">
      <c r="B924" s="229" t="s">
        <v>974</v>
      </c>
      <c r="C924" s="229" t="s">
        <v>7</v>
      </c>
      <c r="D924" s="229" t="s">
        <v>249</v>
      </c>
      <c r="E924" s="229">
        <f>Output!E53</f>
        <v>300</v>
      </c>
      <c r="G924" s="298"/>
    </row>
    <row r="925" spans="2:8" x14ac:dyDescent="0.25">
      <c r="G925" s="298"/>
    </row>
    <row r="926" spans="2:8" ht="18" x14ac:dyDescent="0.25">
      <c r="B926" s="229" t="s">
        <v>975</v>
      </c>
      <c r="D926" s="229" t="s">
        <v>974</v>
      </c>
      <c r="G926" s="298"/>
    </row>
    <row r="927" spans="2:8" x14ac:dyDescent="0.25">
      <c r="B927" s="229">
        <f>G920+G917</f>
        <v>8.6192106695738744</v>
      </c>
      <c r="C927" s="229" t="str">
        <f>IF(B927&lt;=D927,"≤","&gt;")</f>
        <v>≤</v>
      </c>
      <c r="D927" s="229">
        <f>Output!J55</f>
        <v>20</v>
      </c>
      <c r="F927" s="229" t="str">
        <f>IF(B927&lt;=D927,"Verifica soddisfatta","Verifica non soddisfatta")</f>
        <v>Verifica soddisfatta</v>
      </c>
      <c r="G927" s="298"/>
    </row>
    <row r="928" spans="2:8" x14ac:dyDescent="0.25">
      <c r="G928" s="298"/>
    </row>
    <row r="929" spans="2:8" ht="15" x14ac:dyDescent="0.25">
      <c r="B929" s="229" t="s">
        <v>976</v>
      </c>
      <c r="G929" s="298"/>
    </row>
    <row r="930" spans="2:8" x14ac:dyDescent="0.25">
      <c r="G930" s="298"/>
    </row>
    <row r="931" spans="2:8" x14ac:dyDescent="0.25">
      <c r="B931" s="229" t="s">
        <v>168</v>
      </c>
      <c r="G931" s="298"/>
    </row>
    <row r="932" spans="2:8" x14ac:dyDescent="0.25">
      <c r="G932" s="298"/>
    </row>
    <row r="933" spans="2:8" ht="18" x14ac:dyDescent="0.25">
      <c r="E933" s="229" t="s">
        <v>977</v>
      </c>
      <c r="F933" s="229" t="s">
        <v>7</v>
      </c>
      <c r="G933" s="298">
        <f>5/384*1.1*'Calculation Report'!E157*'Calculation Report'!$E$119^4/'Calculation Report'!G898</f>
        <v>8.0924811286554696</v>
      </c>
      <c r="H933" s="229" t="s">
        <v>65</v>
      </c>
    </row>
    <row r="934" spans="2:8" x14ac:dyDescent="0.25">
      <c r="G934" s="298"/>
    </row>
    <row r="935" spans="2:8" x14ac:dyDescent="0.25">
      <c r="G935" s="298"/>
    </row>
    <row r="936" spans="2:8" x14ac:dyDescent="0.25">
      <c r="G936" s="298"/>
    </row>
    <row r="937" spans="2:8" x14ac:dyDescent="0.25">
      <c r="B937" s="229" t="s">
        <v>169</v>
      </c>
      <c r="G937" s="298"/>
    </row>
    <row r="938" spans="2:8" x14ac:dyDescent="0.25">
      <c r="G938" s="298"/>
    </row>
    <row r="939" spans="2:8" ht="18" x14ac:dyDescent="0.25">
      <c r="E939" s="229" t="s">
        <v>978</v>
      </c>
      <c r="F939" s="229" t="s">
        <v>7</v>
      </c>
      <c r="G939" s="298">
        <f>5/384*1.1*'Calculation Report'!E158*'Calculation Report'!$E$119^4/'Calculation Report'!G898</f>
        <v>6.4739849029243768</v>
      </c>
      <c r="H939" s="229" t="s">
        <v>65</v>
      </c>
    </row>
    <row r="940" spans="2:8" x14ac:dyDescent="0.25">
      <c r="B940" s="229" t="s">
        <v>170</v>
      </c>
      <c r="G940" s="298"/>
    </row>
    <row r="941" spans="2:8" x14ac:dyDescent="0.25">
      <c r="G941" s="298"/>
    </row>
    <row r="942" spans="2:8" x14ac:dyDescent="0.25">
      <c r="F942" s="229" t="s">
        <v>7</v>
      </c>
      <c r="G942" s="298">
        <f>G933+G939*E52</f>
        <v>10.034676599532784</v>
      </c>
      <c r="H942" s="229" t="s">
        <v>65</v>
      </c>
    </row>
    <row r="943" spans="2:8" x14ac:dyDescent="0.25">
      <c r="G943" s="298"/>
    </row>
    <row r="944" spans="2:8" x14ac:dyDescent="0.25">
      <c r="B944" s="229" t="s">
        <v>171</v>
      </c>
      <c r="G944" s="298"/>
    </row>
    <row r="945" spans="2:7" x14ac:dyDescent="0.25">
      <c r="G945" s="298"/>
    </row>
    <row r="946" spans="2:7" ht="18" x14ac:dyDescent="0.25">
      <c r="B946" s="229" t="s">
        <v>974</v>
      </c>
      <c r="C946" s="229" t="s">
        <v>7</v>
      </c>
      <c r="D946" s="229" t="s">
        <v>249</v>
      </c>
      <c r="E946" s="229">
        <f>Output!E61</f>
        <v>200</v>
      </c>
      <c r="G946" s="298"/>
    </row>
    <row r="947" spans="2:7" x14ac:dyDescent="0.25">
      <c r="G947" s="298"/>
    </row>
    <row r="948" spans="2:7" ht="18" x14ac:dyDescent="0.25">
      <c r="B948" s="229" t="s">
        <v>979</v>
      </c>
      <c r="D948" s="229" t="s">
        <v>974</v>
      </c>
      <c r="G948" s="298"/>
    </row>
    <row r="949" spans="2:7" x14ac:dyDescent="0.25">
      <c r="B949" s="229">
        <f>G942</f>
        <v>10.034676599532784</v>
      </c>
      <c r="C949" s="229" t="str">
        <f>IF(B949&lt;=D949,"≤","&gt;")</f>
        <v>≤</v>
      </c>
      <c r="D949" s="229">
        <f>Output!J63</f>
        <v>30</v>
      </c>
      <c r="F949" s="229" t="str">
        <f>IF(B949&lt;=D949,"Verifica soddisfatta","Verifica non soddisfatta")</f>
        <v>Verifica soddisfatta</v>
      </c>
      <c r="G949" s="298"/>
    </row>
    <row r="950" spans="2:7" x14ac:dyDescent="0.25">
      <c r="G950" s="298"/>
    </row>
    <row r="951" spans="2:7" x14ac:dyDescent="0.25">
      <c r="G951" s="298"/>
    </row>
    <row r="952" spans="2:7" x14ac:dyDescent="0.25">
      <c r="G952" s="298"/>
    </row>
    <row r="953" spans="2:7" x14ac:dyDescent="0.25">
      <c r="G953" s="298"/>
    </row>
    <row r="954" spans="2:7" x14ac:dyDescent="0.25">
      <c r="G954" s="298"/>
    </row>
    <row r="955" spans="2:7" x14ac:dyDescent="0.25">
      <c r="G955" s="298"/>
    </row>
    <row r="956" spans="2:7" x14ac:dyDescent="0.25">
      <c r="G956" s="298"/>
    </row>
    <row r="957" spans="2:7" x14ac:dyDescent="0.25">
      <c r="G957" s="298"/>
    </row>
    <row r="958" spans="2:7" x14ac:dyDescent="0.25">
      <c r="B958" s="229" t="s">
        <v>261</v>
      </c>
      <c r="G958" s="298"/>
    </row>
    <row r="959" spans="2:7" x14ac:dyDescent="0.25">
      <c r="G959" s="298"/>
    </row>
    <row r="960" spans="2:7" x14ac:dyDescent="0.25">
      <c r="G960" s="298"/>
    </row>
    <row r="961" spans="2:8" x14ac:dyDescent="0.25">
      <c r="B961" s="229" t="s">
        <v>282</v>
      </c>
      <c r="G961" s="298"/>
    </row>
    <row r="962" spans="2:8" ht="15" x14ac:dyDescent="0.25">
      <c r="E962" s="229" t="s">
        <v>17</v>
      </c>
      <c r="F962" s="229" t="s">
        <v>7</v>
      </c>
      <c r="G962" s="298">
        <f>Input!$E$14*1000/9.81</f>
        <v>254.84199796126401</v>
      </c>
      <c r="H962" s="229" t="s">
        <v>980</v>
      </c>
    </row>
    <row r="963" spans="2:8" x14ac:dyDescent="0.25">
      <c r="G963" s="298"/>
    </row>
    <row r="964" spans="2:8" x14ac:dyDescent="0.25">
      <c r="B964" s="229" t="s">
        <v>288</v>
      </c>
      <c r="G964" s="298"/>
    </row>
    <row r="965" spans="2:8" ht="18" x14ac:dyDescent="0.25">
      <c r="E965" s="229" t="s">
        <v>981</v>
      </c>
      <c r="F965" s="229" t="s">
        <v>7</v>
      </c>
      <c r="G965" s="298">
        <f>Output!D71</f>
        <v>7333333.3333333321</v>
      </c>
      <c r="H965" s="229" t="s">
        <v>982</v>
      </c>
    </row>
    <row r="966" spans="2:8" x14ac:dyDescent="0.25">
      <c r="G966" s="298"/>
    </row>
    <row r="967" spans="2:8" x14ac:dyDescent="0.25">
      <c r="B967" s="229" t="s">
        <v>284</v>
      </c>
      <c r="G967" s="298"/>
    </row>
    <row r="968" spans="2:8" x14ac:dyDescent="0.25">
      <c r="E968" s="229" t="s">
        <v>275</v>
      </c>
      <c r="F968" s="229" t="s">
        <v>7</v>
      </c>
      <c r="G968" s="305">
        <f>Output!E72</f>
        <v>0.04</v>
      </c>
      <c r="H968" s="229" t="s">
        <v>285</v>
      </c>
    </row>
    <row r="969" spans="2:8" x14ac:dyDescent="0.25">
      <c r="G969" s="298"/>
    </row>
    <row r="970" spans="2:8" x14ac:dyDescent="0.25">
      <c r="G970" s="298"/>
    </row>
    <row r="971" spans="2:8" x14ac:dyDescent="0.25">
      <c r="B971" s="229" t="s">
        <v>281</v>
      </c>
      <c r="E971" s="229" t="s">
        <v>983</v>
      </c>
      <c r="F971" s="229" t="s">
        <v>7</v>
      </c>
      <c r="G971" s="298">
        <f>MAX(Input!$E$33/1000/1.1*('Calculation Report'!$G$965/(G978))^0.25,Input!$E$30/1000)</f>
        <v>0.8</v>
      </c>
      <c r="H971" s="229" t="s">
        <v>17</v>
      </c>
    </row>
    <row r="972" spans="2:8" x14ac:dyDescent="0.25">
      <c r="G972" s="298"/>
    </row>
    <row r="973" spans="2:8" x14ac:dyDescent="0.25">
      <c r="G973" s="298"/>
    </row>
    <row r="974" spans="2:8" x14ac:dyDescent="0.25">
      <c r="B974" s="229" t="s">
        <v>262</v>
      </c>
      <c r="G974" s="298"/>
    </row>
    <row r="975" spans="2:8" ht="18" x14ac:dyDescent="0.25">
      <c r="E975" s="229" t="s">
        <v>984</v>
      </c>
      <c r="F975" s="229" t="s">
        <v>7</v>
      </c>
      <c r="G975" s="298">
        <f>3.14/2/(Input!$E$33/1000)^2*SQRT('Calculation Report'!G823*10^-6/'Calculation Report'!$G$962)</f>
        <v>7.606719237126268</v>
      </c>
      <c r="H975" s="229" t="s">
        <v>263</v>
      </c>
    </row>
    <row r="976" spans="2:8" x14ac:dyDescent="0.25">
      <c r="G976" s="298"/>
    </row>
    <row r="977" spans="2:8" x14ac:dyDescent="0.25">
      <c r="B977" s="229" t="s">
        <v>283</v>
      </c>
      <c r="G977" s="298"/>
    </row>
    <row r="978" spans="2:8" ht="18" x14ac:dyDescent="0.25">
      <c r="E978" s="229" t="s">
        <v>985</v>
      </c>
      <c r="F978" s="229" t="s">
        <v>7</v>
      </c>
      <c r="G978" s="298">
        <f>G823/(Input!$E$30/1000)</f>
        <v>9691287659886.1113</v>
      </c>
      <c r="H978" s="229" t="s">
        <v>982</v>
      </c>
    </row>
    <row r="979" spans="2:8" x14ac:dyDescent="0.25">
      <c r="G979" s="298"/>
    </row>
    <row r="980" spans="2:8" x14ac:dyDescent="0.25">
      <c r="B980" s="229" t="s">
        <v>264</v>
      </c>
      <c r="G980" s="298"/>
    </row>
    <row r="981" spans="2:8" x14ac:dyDescent="0.25">
      <c r="G981" s="298"/>
    </row>
    <row r="982" spans="2:8" x14ac:dyDescent="0.25">
      <c r="B982" s="229" t="s">
        <v>267</v>
      </c>
      <c r="E982" s="229" t="s">
        <v>265</v>
      </c>
      <c r="F982" s="229" t="s">
        <v>7</v>
      </c>
      <c r="G982" s="298">
        <f>1/48*1000*Input!$E$33^3/'Calculation Report'!G978/'Calculation Report'!G971</f>
        <v>0.58041822690733158</v>
      </c>
      <c r="H982" s="229" t="s">
        <v>65</v>
      </c>
    </row>
    <row r="983" spans="2:8" x14ac:dyDescent="0.25">
      <c r="G983" s="298"/>
    </row>
    <row r="984" spans="2:8" ht="18" x14ac:dyDescent="0.25">
      <c r="B984" s="229" t="s">
        <v>268</v>
      </c>
      <c r="E984" s="229" t="s">
        <v>986</v>
      </c>
      <c r="F984" s="229" t="s">
        <v>7</v>
      </c>
      <c r="G984" s="298">
        <f>Output!J75</f>
        <v>1</v>
      </c>
      <c r="H984" s="229" t="s">
        <v>65</v>
      </c>
    </row>
    <row r="985" spans="2:8" x14ac:dyDescent="0.25">
      <c r="G985" s="298"/>
    </row>
    <row r="986" spans="2:8" x14ac:dyDescent="0.25">
      <c r="E986" s="229" t="str">
        <f>IF(G982&lt;=G984,"Verifica soddisfatta","Verifica non soddisfatta")</f>
        <v>Verifica soddisfatta</v>
      </c>
      <c r="G986" s="298"/>
    </row>
    <row r="987" spans="2:8" x14ac:dyDescent="0.25">
      <c r="G987" s="298"/>
    </row>
    <row r="988" spans="2:8" x14ac:dyDescent="0.25">
      <c r="B988" s="229" t="s">
        <v>266</v>
      </c>
      <c r="G988" s="298"/>
    </row>
    <row r="989" spans="2:8" x14ac:dyDescent="0.25">
      <c r="G989" s="298"/>
    </row>
    <row r="990" spans="2:8" ht="18" x14ac:dyDescent="0.25">
      <c r="B990" s="229" t="s">
        <v>269</v>
      </c>
      <c r="E990" s="229" t="s">
        <v>987</v>
      </c>
      <c r="F990" s="229" t="s">
        <v>7</v>
      </c>
      <c r="G990" s="298">
        <f>ROUNDDOWN(6.3*SQRT(1/G975),0)</f>
        <v>2</v>
      </c>
    </row>
    <row r="991" spans="2:8" x14ac:dyDescent="0.25">
      <c r="G991" s="298"/>
    </row>
    <row r="992" spans="2:8" x14ac:dyDescent="0.25">
      <c r="B992" s="229" t="s">
        <v>270</v>
      </c>
      <c r="E992" s="229" t="s">
        <v>271</v>
      </c>
      <c r="F992" s="229" t="s">
        <v>7</v>
      </c>
      <c r="G992" s="298">
        <f>+(0.4+0.6*G990)/($G$962*G971*Input!$E$33/1000/2+50)</f>
        <v>2.4183036746013402E-3</v>
      </c>
      <c r="H992" s="229" t="s">
        <v>272</v>
      </c>
    </row>
    <row r="993" spans="2:8" x14ac:dyDescent="0.25">
      <c r="G993" s="298"/>
    </row>
    <row r="994" spans="2:8" x14ac:dyDescent="0.25">
      <c r="B994" s="229" t="s">
        <v>274</v>
      </c>
      <c r="E994" s="229" t="s">
        <v>275</v>
      </c>
      <c r="F994" s="229" t="s">
        <v>7</v>
      </c>
      <c r="G994" s="298">
        <f>G968</f>
        <v>0.04</v>
      </c>
      <c r="H994" s="229" t="s">
        <v>276</v>
      </c>
    </row>
    <row r="995" spans="2:8" x14ac:dyDescent="0.25">
      <c r="G995" s="298"/>
    </row>
    <row r="996" spans="2:8" ht="18" x14ac:dyDescent="0.25">
      <c r="B996" s="229" t="s">
        <v>273</v>
      </c>
      <c r="E996" s="229" t="s">
        <v>988</v>
      </c>
      <c r="F996" s="229" t="s">
        <v>7</v>
      </c>
      <c r="G996" s="298">
        <f>120^(G975*G994/100-1)</f>
        <v>8.4556121308830886E-3</v>
      </c>
      <c r="H996" s="229" t="s">
        <v>272</v>
      </c>
    </row>
    <row r="997" spans="2:8" x14ac:dyDescent="0.25">
      <c r="G997" s="298"/>
    </row>
    <row r="998" spans="2:8" x14ac:dyDescent="0.25">
      <c r="E998" s="229" t="str">
        <f>IF(G992&lt;=G996,"Verifica soddisfatta","Verifica non soddisfatta")</f>
        <v>Verifica soddisfatta</v>
      </c>
      <c r="G998" s="298"/>
    </row>
    <row r="999" spans="2:8" x14ac:dyDescent="0.25">
      <c r="G999" s="298"/>
    </row>
    <row r="1000" spans="2:8" x14ac:dyDescent="0.25">
      <c r="B1000" s="229" t="s">
        <v>277</v>
      </c>
      <c r="G1000" s="298"/>
    </row>
    <row r="1001" spans="2:8" x14ac:dyDescent="0.25">
      <c r="G1001" s="298"/>
    </row>
    <row r="1002" spans="2:8" x14ac:dyDescent="0.25">
      <c r="G1002" s="298"/>
    </row>
    <row r="1003" spans="2:8" ht="15" x14ac:dyDescent="0.25">
      <c r="B1003" s="229" t="s">
        <v>278</v>
      </c>
      <c r="E1003" s="229" t="s">
        <v>133</v>
      </c>
      <c r="F1003" s="229" t="s">
        <v>7</v>
      </c>
      <c r="G1003" s="298">
        <f>16.8/($G$962*G971*Input!$E$33/1000)*1/($G$968/100)</f>
        <v>34.335000000000001</v>
      </c>
      <c r="H1003" s="229" t="s">
        <v>989</v>
      </c>
    </row>
    <row r="1004" spans="2:8" x14ac:dyDescent="0.25">
      <c r="G1004" s="298"/>
    </row>
    <row r="1005" spans="2:8" x14ac:dyDescent="0.25">
      <c r="G1005" s="298"/>
    </row>
    <row r="1006" spans="2:8" x14ac:dyDescent="0.25">
      <c r="E1006" s="229" t="str">
        <f>IF(G1003&lt;=0.1,"Vibrazioni non percepibili",IF(G1003&lt;0.35,"Vibrazioni percepibili non fastidiose","Vibrazioni non accettabili"))</f>
        <v>Vibrazioni non accettabili</v>
      </c>
      <c r="G1006" s="298"/>
    </row>
    <row r="1007" spans="2:8" ht="13.15" hidden="1" customHeight="1" x14ac:dyDescent="0.25">
      <c r="G1007" s="298"/>
    </row>
    <row r="1008" spans="2:8" ht="13.15" hidden="1" customHeight="1" x14ac:dyDescent="0.25">
      <c r="G1008" s="298"/>
    </row>
    <row r="1009" spans="7:7" ht="13.15" hidden="1" customHeight="1" x14ac:dyDescent="0.25">
      <c r="G1009" s="298"/>
    </row>
    <row r="1010" spans="7:7" ht="13.15" hidden="1" customHeight="1" x14ac:dyDescent="0.25">
      <c r="G1010" s="298"/>
    </row>
    <row r="1011" spans="7:7" x14ac:dyDescent="0.25">
      <c r="G1011" s="298"/>
    </row>
    <row r="1012" spans="7:7" x14ac:dyDescent="0.25">
      <c r="G1012" s="298"/>
    </row>
    <row r="1013" spans="7:7" x14ac:dyDescent="0.25">
      <c r="G1013" s="298"/>
    </row>
    <row r="1014" spans="7:7" x14ac:dyDescent="0.25">
      <c r="G1014" s="298"/>
    </row>
    <row r="1015" spans="7:7" x14ac:dyDescent="0.25">
      <c r="G1015" s="298"/>
    </row>
    <row r="1016" spans="7:7" x14ac:dyDescent="0.25">
      <c r="G1016" s="298"/>
    </row>
    <row r="1017" spans="7:7" x14ac:dyDescent="0.25">
      <c r="G1017" s="298"/>
    </row>
    <row r="1018" spans="7:7" x14ac:dyDescent="0.25">
      <c r="G1018" s="298"/>
    </row>
    <row r="1019" spans="7:7" x14ac:dyDescent="0.25">
      <c r="G1019" s="298"/>
    </row>
    <row r="1020" spans="7:7" x14ac:dyDescent="0.25">
      <c r="G1020" s="298"/>
    </row>
    <row r="1021" spans="7:7" x14ac:dyDescent="0.25">
      <c r="G1021" s="298"/>
    </row>
    <row r="1022" spans="7:7" x14ac:dyDescent="0.25">
      <c r="G1022" s="298"/>
    </row>
    <row r="1023" spans="7:7" x14ac:dyDescent="0.25">
      <c r="G1023" s="298"/>
    </row>
    <row r="1024" spans="7:7" x14ac:dyDescent="0.25">
      <c r="G1024" s="298"/>
    </row>
    <row r="1025" spans="7:7" x14ac:dyDescent="0.25">
      <c r="G1025" s="298"/>
    </row>
    <row r="1026" spans="7:7" x14ac:dyDescent="0.25">
      <c r="G1026" s="298"/>
    </row>
    <row r="1027" spans="7:7" x14ac:dyDescent="0.25">
      <c r="G1027" s="298"/>
    </row>
    <row r="1028" spans="7:7" x14ac:dyDescent="0.25">
      <c r="G1028" s="298"/>
    </row>
    <row r="1029" spans="7:7" x14ac:dyDescent="0.25">
      <c r="G1029" s="298"/>
    </row>
    <row r="1030" spans="7:7" x14ac:dyDescent="0.25">
      <c r="G1030" s="298"/>
    </row>
    <row r="1031" spans="7:7" x14ac:dyDescent="0.25">
      <c r="G1031" s="298"/>
    </row>
    <row r="1032" spans="7:7" x14ac:dyDescent="0.25">
      <c r="G1032" s="298"/>
    </row>
    <row r="1033" spans="7:7" x14ac:dyDescent="0.25">
      <c r="G1033" s="298"/>
    </row>
    <row r="1034" spans="7:7" x14ac:dyDescent="0.25">
      <c r="G1034" s="298"/>
    </row>
    <row r="1035" spans="7:7" x14ac:dyDescent="0.25">
      <c r="G1035" s="298"/>
    </row>
    <row r="1036" spans="7:7" x14ac:dyDescent="0.25">
      <c r="G1036" s="298"/>
    </row>
    <row r="1037" spans="7:7" x14ac:dyDescent="0.25">
      <c r="G1037" s="298"/>
    </row>
    <row r="1038" spans="7:7" x14ac:dyDescent="0.25">
      <c r="G1038" s="298"/>
    </row>
    <row r="1039" spans="7:7" x14ac:dyDescent="0.25">
      <c r="G1039" s="298"/>
    </row>
    <row r="1040" spans="7:7" x14ac:dyDescent="0.25">
      <c r="G1040" s="298"/>
    </row>
    <row r="1041" spans="7:7" x14ac:dyDescent="0.25">
      <c r="G1041" s="298"/>
    </row>
    <row r="1042" spans="7:7" x14ac:dyDescent="0.25">
      <c r="G1042" s="298"/>
    </row>
    <row r="1043" spans="7:7" x14ac:dyDescent="0.25">
      <c r="G1043" s="298"/>
    </row>
    <row r="1044" spans="7:7" x14ac:dyDescent="0.25">
      <c r="G1044" s="298"/>
    </row>
    <row r="1045" spans="7:7" x14ac:dyDescent="0.25">
      <c r="G1045" s="298"/>
    </row>
    <row r="1046" spans="7:7" x14ac:dyDescent="0.25">
      <c r="G1046" s="298"/>
    </row>
    <row r="1047" spans="7:7" x14ac:dyDescent="0.25">
      <c r="G1047" s="298"/>
    </row>
    <row r="1048" spans="7:7" x14ac:dyDescent="0.25">
      <c r="G1048" s="298"/>
    </row>
    <row r="1049" spans="7:7" x14ac:dyDescent="0.25">
      <c r="G1049" s="298"/>
    </row>
    <row r="1050" spans="7:7" x14ac:dyDescent="0.25">
      <c r="G1050" s="298"/>
    </row>
    <row r="1051" spans="7:7" x14ac:dyDescent="0.25">
      <c r="G1051" s="298"/>
    </row>
    <row r="1052" spans="7:7" x14ac:dyDescent="0.25">
      <c r="G1052" s="298"/>
    </row>
    <row r="1053" spans="7:7" x14ac:dyDescent="0.25">
      <c r="G1053" s="298"/>
    </row>
    <row r="1054" spans="7:7" x14ac:dyDescent="0.25">
      <c r="G1054" s="298"/>
    </row>
    <row r="1055" spans="7:7" x14ac:dyDescent="0.25">
      <c r="G1055" s="298"/>
    </row>
    <row r="1056" spans="7:7" x14ac:dyDescent="0.25">
      <c r="G1056" s="298"/>
    </row>
    <row r="1057" spans="7:7" x14ac:dyDescent="0.25">
      <c r="G1057" s="298"/>
    </row>
    <row r="1058" spans="7:7" x14ac:dyDescent="0.25">
      <c r="G1058" s="298"/>
    </row>
    <row r="1059" spans="7:7" x14ac:dyDescent="0.25">
      <c r="G1059" s="298"/>
    </row>
    <row r="1060" spans="7:7" x14ac:dyDescent="0.25">
      <c r="G1060" s="298"/>
    </row>
    <row r="1061" spans="7:7" x14ac:dyDescent="0.25">
      <c r="G1061" s="298"/>
    </row>
    <row r="1062" spans="7:7" x14ac:dyDescent="0.25">
      <c r="G1062" s="298"/>
    </row>
    <row r="1063" spans="7:7" x14ac:dyDescent="0.25">
      <c r="G1063" s="298"/>
    </row>
    <row r="1064" spans="7:7" x14ac:dyDescent="0.25">
      <c r="G1064" s="298"/>
    </row>
    <row r="1065" spans="7:7" x14ac:dyDescent="0.25">
      <c r="G1065" s="298"/>
    </row>
    <row r="1066" spans="7:7" x14ac:dyDescent="0.25">
      <c r="G1066" s="298"/>
    </row>
    <row r="1067" spans="7:7" x14ac:dyDescent="0.25">
      <c r="G1067" s="298"/>
    </row>
    <row r="1068" spans="7:7" x14ac:dyDescent="0.25">
      <c r="G1068" s="298"/>
    </row>
    <row r="1069" spans="7:7" x14ac:dyDescent="0.25">
      <c r="G1069" s="298"/>
    </row>
    <row r="1070" spans="7:7" x14ac:dyDescent="0.25">
      <c r="G1070" s="298"/>
    </row>
    <row r="1071" spans="7:7" x14ac:dyDescent="0.25">
      <c r="G1071" s="298"/>
    </row>
    <row r="1072" spans="7:7" x14ac:dyDescent="0.25">
      <c r="G1072" s="298"/>
    </row>
    <row r="1073" spans="7:7" x14ac:dyDescent="0.25">
      <c r="G1073" s="298"/>
    </row>
    <row r="1074" spans="7:7" x14ac:dyDescent="0.25">
      <c r="G1074" s="298"/>
    </row>
    <row r="1075" spans="7:7" x14ac:dyDescent="0.25">
      <c r="G1075" s="298"/>
    </row>
    <row r="1076" spans="7:7" x14ac:dyDescent="0.25">
      <c r="G1076" s="298"/>
    </row>
    <row r="1077" spans="7:7" x14ac:dyDescent="0.25">
      <c r="G1077" s="298"/>
    </row>
    <row r="1078" spans="7:7" x14ac:dyDescent="0.25">
      <c r="G1078" s="298"/>
    </row>
    <row r="1079" spans="7:7" x14ac:dyDescent="0.25">
      <c r="G1079" s="298"/>
    </row>
    <row r="1080" spans="7:7" x14ac:dyDescent="0.25">
      <c r="G1080" s="298"/>
    </row>
    <row r="1081" spans="7:7" x14ac:dyDescent="0.25">
      <c r="G1081" s="298"/>
    </row>
    <row r="1082" spans="7:7" x14ac:dyDescent="0.25">
      <c r="G1082" s="298"/>
    </row>
    <row r="1083" spans="7:7" x14ac:dyDescent="0.25">
      <c r="G1083" s="298"/>
    </row>
    <row r="1084" spans="7:7" x14ac:dyDescent="0.25">
      <c r="G1084" s="298"/>
    </row>
    <row r="1085" spans="7:7" x14ac:dyDescent="0.25">
      <c r="G1085" s="298"/>
    </row>
    <row r="1086" spans="7:7" x14ac:dyDescent="0.25">
      <c r="G1086" s="298"/>
    </row>
    <row r="1087" spans="7:7" x14ac:dyDescent="0.25">
      <c r="G1087" s="298"/>
    </row>
    <row r="1088" spans="7:7" x14ac:dyDescent="0.25">
      <c r="G1088" s="298"/>
    </row>
    <row r="1089" spans="7:7" x14ac:dyDescent="0.25">
      <c r="G1089" s="298"/>
    </row>
    <row r="1090" spans="7:7" x14ac:dyDescent="0.25">
      <c r="G1090" s="298"/>
    </row>
    <row r="1091" spans="7:7" x14ac:dyDescent="0.25">
      <c r="G1091" s="298"/>
    </row>
    <row r="1092" spans="7:7" x14ac:dyDescent="0.25">
      <c r="G1092" s="298"/>
    </row>
    <row r="1093" spans="7:7" x14ac:dyDescent="0.25">
      <c r="G1093" s="298"/>
    </row>
    <row r="1094" spans="7:7" x14ac:dyDescent="0.25">
      <c r="G1094" s="298"/>
    </row>
    <row r="1095" spans="7:7" x14ac:dyDescent="0.25">
      <c r="G1095" s="298"/>
    </row>
    <row r="1096" spans="7:7" x14ac:dyDescent="0.25">
      <c r="G1096" s="298"/>
    </row>
    <row r="1097" spans="7:7" x14ac:dyDescent="0.25">
      <c r="G1097" s="298"/>
    </row>
    <row r="1098" spans="7:7" x14ac:dyDescent="0.25">
      <c r="G1098" s="298"/>
    </row>
    <row r="1099" spans="7:7" x14ac:dyDescent="0.25">
      <c r="G1099" s="298"/>
    </row>
    <row r="1100" spans="7:7" x14ac:dyDescent="0.25">
      <c r="G1100" s="298"/>
    </row>
    <row r="1101" spans="7:7" x14ac:dyDescent="0.25">
      <c r="G1101" s="298"/>
    </row>
    <row r="1102" spans="7:7" x14ac:dyDescent="0.25">
      <c r="G1102" s="298"/>
    </row>
    <row r="1103" spans="7:7" x14ac:dyDescent="0.25">
      <c r="G1103" s="298"/>
    </row>
    <row r="1104" spans="7:7" x14ac:dyDescent="0.25">
      <c r="G1104" s="298"/>
    </row>
    <row r="1105" spans="7:7" x14ac:dyDescent="0.25">
      <c r="G1105" s="298"/>
    </row>
    <row r="1106" spans="7:7" x14ac:dyDescent="0.25">
      <c r="G1106" s="298"/>
    </row>
    <row r="1107" spans="7:7" x14ac:dyDescent="0.25">
      <c r="G1107" s="298"/>
    </row>
    <row r="1108" spans="7:7" x14ac:dyDescent="0.25">
      <c r="G1108" s="298"/>
    </row>
    <row r="1109" spans="7:7" x14ac:dyDescent="0.25">
      <c r="G1109" s="298"/>
    </row>
    <row r="1110" spans="7:7" x14ac:dyDescent="0.25">
      <c r="G1110" s="298"/>
    </row>
    <row r="1111" spans="7:7" x14ac:dyDescent="0.25">
      <c r="G1111" s="298"/>
    </row>
    <row r="1112" spans="7:7" x14ac:dyDescent="0.25">
      <c r="G1112" s="298"/>
    </row>
    <row r="1113" spans="7:7" x14ac:dyDescent="0.25">
      <c r="G1113" s="298"/>
    </row>
    <row r="1114" spans="7:7" x14ac:dyDescent="0.25">
      <c r="G1114" s="298"/>
    </row>
    <row r="1115" spans="7:7" x14ac:dyDescent="0.25">
      <c r="G1115" s="298"/>
    </row>
    <row r="1116" spans="7:7" x14ac:dyDescent="0.25">
      <c r="G1116" s="298"/>
    </row>
    <row r="1117" spans="7:7" x14ac:dyDescent="0.25">
      <c r="G1117" s="298"/>
    </row>
    <row r="1118" spans="7:7" x14ac:dyDescent="0.25">
      <c r="G1118" s="298"/>
    </row>
    <row r="1119" spans="7:7" x14ac:dyDescent="0.25">
      <c r="G1119" s="298"/>
    </row>
    <row r="1120" spans="7:7" x14ac:dyDescent="0.25">
      <c r="G1120" s="298"/>
    </row>
    <row r="1121" spans="7:7" x14ac:dyDescent="0.25">
      <c r="G1121" s="298"/>
    </row>
    <row r="1122" spans="7:7" x14ac:dyDescent="0.25">
      <c r="G1122" s="298"/>
    </row>
    <row r="1123" spans="7:7" x14ac:dyDescent="0.25">
      <c r="G1123" s="298"/>
    </row>
    <row r="1124" spans="7:7" x14ac:dyDescent="0.25">
      <c r="G1124" s="298"/>
    </row>
    <row r="1125" spans="7:7" x14ac:dyDescent="0.25">
      <c r="G1125" s="298"/>
    </row>
    <row r="1126" spans="7:7" x14ac:dyDescent="0.25">
      <c r="G1126" s="298"/>
    </row>
    <row r="1127" spans="7:7" x14ac:dyDescent="0.25">
      <c r="G1127" s="298"/>
    </row>
    <row r="1128" spans="7:7" x14ac:dyDescent="0.25">
      <c r="G1128" s="298"/>
    </row>
    <row r="1129" spans="7:7" x14ac:dyDescent="0.25">
      <c r="G1129" s="298"/>
    </row>
    <row r="1130" spans="7:7" x14ac:dyDescent="0.25">
      <c r="G1130" s="298"/>
    </row>
    <row r="1131" spans="7:7" x14ac:dyDescent="0.25">
      <c r="G1131" s="298"/>
    </row>
    <row r="1132" spans="7:7" x14ac:dyDescent="0.25">
      <c r="G1132" s="298"/>
    </row>
    <row r="1133" spans="7:7" x14ac:dyDescent="0.25">
      <c r="G1133" s="298"/>
    </row>
    <row r="1134" spans="7:7" x14ac:dyDescent="0.25">
      <c r="G1134" s="298"/>
    </row>
    <row r="1135" spans="7:7" x14ac:dyDescent="0.25">
      <c r="G1135" s="298"/>
    </row>
    <row r="1136" spans="7:7" x14ac:dyDescent="0.25">
      <c r="G1136" s="298"/>
    </row>
    <row r="1137" spans="7:7" x14ac:dyDescent="0.25">
      <c r="G1137" s="298"/>
    </row>
    <row r="1138" spans="7:7" x14ac:dyDescent="0.25">
      <c r="G1138" s="298"/>
    </row>
    <row r="1139" spans="7:7" x14ac:dyDescent="0.25">
      <c r="G1139" s="298"/>
    </row>
    <row r="1140" spans="7:7" x14ac:dyDescent="0.25">
      <c r="G1140" s="298"/>
    </row>
    <row r="1141" spans="7:7" x14ac:dyDescent="0.25">
      <c r="G1141" s="298"/>
    </row>
    <row r="1142" spans="7:7" x14ac:dyDescent="0.25">
      <c r="G1142" s="298"/>
    </row>
    <row r="1143" spans="7:7" x14ac:dyDescent="0.25">
      <c r="G1143" s="298"/>
    </row>
    <row r="1144" spans="7:7" x14ac:dyDescent="0.25">
      <c r="G1144" s="298"/>
    </row>
    <row r="1145" spans="7:7" x14ac:dyDescent="0.25">
      <c r="G1145" s="298"/>
    </row>
    <row r="1146" spans="7:7" x14ac:dyDescent="0.25">
      <c r="G1146" s="298"/>
    </row>
    <row r="1147" spans="7:7" x14ac:dyDescent="0.25">
      <c r="G1147" s="298"/>
    </row>
    <row r="1148" spans="7:7" x14ac:dyDescent="0.25">
      <c r="G1148" s="298"/>
    </row>
    <row r="1149" spans="7:7" x14ac:dyDescent="0.25">
      <c r="G1149" s="298"/>
    </row>
    <row r="1150" spans="7:7" x14ac:dyDescent="0.25">
      <c r="G1150" s="298"/>
    </row>
    <row r="1151" spans="7:7" x14ac:dyDescent="0.25">
      <c r="G1151" s="298"/>
    </row>
    <row r="1152" spans="7:7" x14ac:dyDescent="0.25">
      <c r="G1152" s="298"/>
    </row>
    <row r="1153" spans="7:7" x14ac:dyDescent="0.25">
      <c r="G1153" s="298"/>
    </row>
    <row r="1154" spans="7:7" x14ac:dyDescent="0.25">
      <c r="G1154" s="298"/>
    </row>
    <row r="1155" spans="7:7" x14ac:dyDescent="0.25">
      <c r="G1155" s="298"/>
    </row>
    <row r="1156" spans="7:7" x14ac:dyDescent="0.25">
      <c r="G1156" s="298"/>
    </row>
    <row r="1157" spans="7:7" x14ac:dyDescent="0.25">
      <c r="G1157" s="298"/>
    </row>
    <row r="1158" spans="7:7" x14ac:dyDescent="0.25">
      <c r="G1158" s="298"/>
    </row>
    <row r="1159" spans="7:7" x14ac:dyDescent="0.25">
      <c r="G1159" s="298"/>
    </row>
    <row r="1160" spans="7:7" x14ac:dyDescent="0.25">
      <c r="G1160" s="298"/>
    </row>
    <row r="1161" spans="7:7" x14ac:dyDescent="0.25">
      <c r="G1161" s="298"/>
    </row>
    <row r="1162" spans="7:7" x14ac:dyDescent="0.25">
      <c r="G1162" s="298"/>
    </row>
    <row r="1163" spans="7:7" x14ac:dyDescent="0.25">
      <c r="G1163" s="298"/>
    </row>
    <row r="1164" spans="7:7" x14ac:dyDescent="0.25">
      <c r="G1164" s="298"/>
    </row>
    <row r="1165" spans="7:7" x14ac:dyDescent="0.25">
      <c r="G1165" s="298"/>
    </row>
    <row r="1166" spans="7:7" x14ac:dyDescent="0.25">
      <c r="G1166" s="298"/>
    </row>
    <row r="1167" spans="7:7" x14ac:dyDescent="0.25">
      <c r="G1167" s="298"/>
    </row>
    <row r="1168" spans="7:7" x14ac:dyDescent="0.25">
      <c r="G1168" s="298"/>
    </row>
    <row r="1169" spans="7:7" x14ac:dyDescent="0.25">
      <c r="G1169" s="298"/>
    </row>
    <row r="1170" spans="7:7" x14ac:dyDescent="0.25">
      <c r="G1170" s="298"/>
    </row>
    <row r="1171" spans="7:7" x14ac:dyDescent="0.25">
      <c r="G1171" s="298"/>
    </row>
    <row r="1172" spans="7:7" x14ac:dyDescent="0.25">
      <c r="G1172" s="298"/>
    </row>
    <row r="1173" spans="7:7" x14ac:dyDescent="0.25">
      <c r="G1173" s="298"/>
    </row>
    <row r="1174" spans="7:7" x14ac:dyDescent="0.25">
      <c r="G1174" s="298"/>
    </row>
    <row r="1175" spans="7:7" x14ac:dyDescent="0.25">
      <c r="G1175" s="298"/>
    </row>
    <row r="1176" spans="7:7" x14ac:dyDescent="0.25">
      <c r="G1176" s="298"/>
    </row>
    <row r="1177" spans="7:7" x14ac:dyDescent="0.25">
      <c r="G1177" s="298"/>
    </row>
    <row r="1178" spans="7:7" x14ac:dyDescent="0.25">
      <c r="G1178" s="298"/>
    </row>
    <row r="1179" spans="7:7" x14ac:dyDescent="0.25">
      <c r="G1179" s="298"/>
    </row>
    <row r="1180" spans="7:7" x14ac:dyDescent="0.25">
      <c r="G1180" s="298"/>
    </row>
    <row r="1181" spans="7:7" x14ac:dyDescent="0.25">
      <c r="G1181" s="298"/>
    </row>
    <row r="1182" spans="7:7" x14ac:dyDescent="0.25">
      <c r="G1182" s="298"/>
    </row>
    <row r="1183" spans="7:7" x14ac:dyDescent="0.25">
      <c r="G1183" s="298"/>
    </row>
    <row r="1184" spans="7:7" x14ac:dyDescent="0.25">
      <c r="G1184" s="298"/>
    </row>
    <row r="1185" spans="7:7" x14ac:dyDescent="0.25">
      <c r="G1185" s="298"/>
    </row>
    <row r="1186" spans="7:7" x14ac:dyDescent="0.25">
      <c r="G1186" s="298"/>
    </row>
    <row r="1187" spans="7:7" x14ac:dyDescent="0.25">
      <c r="G1187" s="298"/>
    </row>
    <row r="1188" spans="7:7" x14ac:dyDescent="0.25">
      <c r="G1188" s="298"/>
    </row>
    <row r="1189" spans="7:7" x14ac:dyDescent="0.25">
      <c r="G1189" s="298"/>
    </row>
    <row r="1190" spans="7:7" x14ac:dyDescent="0.25">
      <c r="G1190" s="298"/>
    </row>
    <row r="1191" spans="7:7" x14ac:dyDescent="0.25">
      <c r="G1191" s="298"/>
    </row>
    <row r="1192" spans="7:7" x14ac:dyDescent="0.25">
      <c r="G1192" s="298"/>
    </row>
    <row r="1193" spans="7:7" x14ac:dyDescent="0.25">
      <c r="G1193" s="298"/>
    </row>
    <row r="1194" spans="7:7" x14ac:dyDescent="0.25">
      <c r="G1194" s="298"/>
    </row>
    <row r="1195" spans="7:7" x14ac:dyDescent="0.25">
      <c r="G1195" s="298"/>
    </row>
    <row r="1196" spans="7:7" x14ac:dyDescent="0.25">
      <c r="G1196" s="298"/>
    </row>
    <row r="1197" spans="7:7" x14ac:dyDescent="0.25">
      <c r="G1197" s="298"/>
    </row>
    <row r="1198" spans="7:7" x14ac:dyDescent="0.25">
      <c r="G1198" s="298"/>
    </row>
    <row r="1199" spans="7:7" x14ac:dyDescent="0.25">
      <c r="G1199" s="298"/>
    </row>
    <row r="1200" spans="7:7" x14ac:dyDescent="0.25">
      <c r="G1200" s="298"/>
    </row>
    <row r="1201" spans="7:7" x14ac:dyDescent="0.25">
      <c r="G1201" s="298"/>
    </row>
    <row r="1202" spans="7:7" x14ac:dyDescent="0.25">
      <c r="G1202" s="298"/>
    </row>
    <row r="1203" spans="7:7" x14ac:dyDescent="0.25">
      <c r="G1203" s="298"/>
    </row>
    <row r="1204" spans="7:7" x14ac:dyDescent="0.25">
      <c r="G1204" s="298"/>
    </row>
    <row r="1205" spans="7:7" x14ac:dyDescent="0.25">
      <c r="G1205" s="298"/>
    </row>
    <row r="1206" spans="7:7" x14ac:dyDescent="0.25">
      <c r="G1206" s="298"/>
    </row>
    <row r="1207" spans="7:7" x14ac:dyDescent="0.25">
      <c r="G1207" s="298"/>
    </row>
    <row r="1208" spans="7:7" x14ac:dyDescent="0.25">
      <c r="G1208" s="298"/>
    </row>
    <row r="1209" spans="7:7" x14ac:dyDescent="0.25">
      <c r="G1209" s="298"/>
    </row>
    <row r="1210" spans="7:7" x14ac:dyDescent="0.25">
      <c r="G1210" s="298"/>
    </row>
    <row r="1211" spans="7:7" x14ac:dyDescent="0.25">
      <c r="G1211" s="298"/>
    </row>
    <row r="1212" spans="7:7" x14ac:dyDescent="0.25">
      <c r="G1212" s="298"/>
    </row>
    <row r="1213" spans="7:7" x14ac:dyDescent="0.25">
      <c r="G1213" s="298"/>
    </row>
    <row r="1214" spans="7:7" x14ac:dyDescent="0.25">
      <c r="G1214" s="298"/>
    </row>
    <row r="1215" spans="7:7" x14ac:dyDescent="0.25">
      <c r="G1215" s="298"/>
    </row>
    <row r="1216" spans="7:7" x14ac:dyDescent="0.25">
      <c r="G1216" s="298"/>
    </row>
    <row r="1217" spans="7:7" x14ac:dyDescent="0.25">
      <c r="G1217" s="298"/>
    </row>
    <row r="1218" spans="7:7" x14ac:dyDescent="0.25">
      <c r="G1218" s="298"/>
    </row>
    <row r="1219" spans="7:7" x14ac:dyDescent="0.25">
      <c r="G1219" s="298"/>
    </row>
    <row r="1220" spans="7:7" x14ac:dyDescent="0.25">
      <c r="G1220" s="298"/>
    </row>
    <row r="1221" spans="7:7" x14ac:dyDescent="0.25">
      <c r="G1221" s="298"/>
    </row>
    <row r="1222" spans="7:7" x14ac:dyDescent="0.25">
      <c r="G1222" s="298"/>
    </row>
    <row r="1223" spans="7:7" x14ac:dyDescent="0.25">
      <c r="G1223" s="298"/>
    </row>
    <row r="1224" spans="7:7" x14ac:dyDescent="0.25">
      <c r="G1224" s="298"/>
    </row>
    <row r="1225" spans="7:7" x14ac:dyDescent="0.25">
      <c r="G1225" s="298"/>
    </row>
    <row r="1226" spans="7:7" x14ac:dyDescent="0.25">
      <c r="G1226" s="298"/>
    </row>
    <row r="1227" spans="7:7" x14ac:dyDescent="0.25">
      <c r="G1227" s="298"/>
    </row>
    <row r="1228" spans="7:7" x14ac:dyDescent="0.25">
      <c r="G1228" s="298"/>
    </row>
    <row r="1229" spans="7:7" x14ac:dyDescent="0.25">
      <c r="G1229" s="298"/>
    </row>
    <row r="1230" spans="7:7" x14ac:dyDescent="0.25">
      <c r="G1230" s="298"/>
    </row>
    <row r="1231" spans="7:7" x14ac:dyDescent="0.25">
      <c r="G1231" s="298"/>
    </row>
    <row r="1232" spans="7:7" x14ac:dyDescent="0.25">
      <c r="G1232" s="298"/>
    </row>
    <row r="1233" spans="7:7" x14ac:dyDescent="0.25">
      <c r="G1233" s="298"/>
    </row>
    <row r="1234" spans="7:7" x14ac:dyDescent="0.25">
      <c r="G1234" s="298"/>
    </row>
  </sheetData>
  <sheetProtection formatCells="0" formatColumns="0" formatRows="0" insertColumns="0" insertRows="0" deleteColumns="0" deleteRows="0" sort="0"/>
  <mergeCells count="128">
    <mergeCell ref="B249:F249"/>
    <mergeCell ref="C257:D257"/>
    <mergeCell ref="C262:D262"/>
    <mergeCell ref="B270:F270"/>
    <mergeCell ref="B239:L239"/>
    <mergeCell ref="B241:F241"/>
    <mergeCell ref="H241:L241"/>
    <mergeCell ref="C243:D243"/>
    <mergeCell ref="I243:J243"/>
    <mergeCell ref="C246:D246"/>
    <mergeCell ref="I246:J246"/>
    <mergeCell ref="C247:D247"/>
    <mergeCell ref="I247:J247"/>
    <mergeCell ref="C210:D210"/>
    <mergeCell ref="C211:D211"/>
    <mergeCell ref="I210:J210"/>
    <mergeCell ref="I211:J211"/>
    <mergeCell ref="B213:F213"/>
    <mergeCell ref="C226:D226"/>
    <mergeCell ref="C221:D221"/>
    <mergeCell ref="H197:L197"/>
    <mergeCell ref="I199:J199"/>
    <mergeCell ref="C175:D175"/>
    <mergeCell ref="I174:J174"/>
    <mergeCell ref="I175:J175"/>
    <mergeCell ref="B205:F205"/>
    <mergeCell ref="H205:L205"/>
    <mergeCell ref="C193:D193"/>
    <mergeCell ref="B177:F177"/>
    <mergeCell ref="B172:F172"/>
    <mergeCell ref="H172:L172"/>
    <mergeCell ref="C174:D174"/>
    <mergeCell ref="C142:D142"/>
    <mergeCell ref="I141:J141"/>
    <mergeCell ref="I142:J142"/>
    <mergeCell ref="B234:F234"/>
    <mergeCell ref="H189:L195"/>
    <mergeCell ref="B203:L203"/>
    <mergeCell ref="C207:D207"/>
    <mergeCell ref="I207:J207"/>
    <mergeCell ref="I143:J143"/>
    <mergeCell ref="H145:H146"/>
    <mergeCell ref="I145:J145"/>
    <mergeCell ref="I146:J146"/>
    <mergeCell ref="B148:L148"/>
    <mergeCell ref="C143:D143"/>
    <mergeCell ref="C146:D146"/>
    <mergeCell ref="C145:D145"/>
    <mergeCell ref="B145:B146"/>
    <mergeCell ref="B155:L155"/>
    <mergeCell ref="C157:D157"/>
    <mergeCell ref="C158:D158"/>
    <mergeCell ref="H163:L163"/>
    <mergeCell ref="B163:F163"/>
    <mergeCell ref="C185:D185"/>
    <mergeCell ref="B187:F187"/>
    <mergeCell ref="C46:D46"/>
    <mergeCell ref="I45:J45"/>
    <mergeCell ref="I46:J46"/>
    <mergeCell ref="B48:L48"/>
    <mergeCell ref="C7:H12"/>
    <mergeCell ref="C67:E67"/>
    <mergeCell ref="B65:L65"/>
    <mergeCell ref="C58:D58"/>
    <mergeCell ref="B35:L35"/>
    <mergeCell ref="B39:F39"/>
    <mergeCell ref="H39:L39"/>
    <mergeCell ref="C37:J37"/>
    <mergeCell ref="C45:D45"/>
    <mergeCell ref="C41:F41"/>
    <mergeCell ref="I41:L41"/>
    <mergeCell ref="C51:D51"/>
    <mergeCell ref="C52:D52"/>
    <mergeCell ref="B54:L54"/>
    <mergeCell ref="B62:L62"/>
    <mergeCell ref="B56:L56"/>
    <mergeCell ref="C59:D59"/>
    <mergeCell ref="C60:D60"/>
    <mergeCell ref="D19:I19"/>
    <mergeCell ref="K11:L11"/>
    <mergeCell ref="J13:L13"/>
    <mergeCell ref="D17:K17"/>
    <mergeCell ref="D15:L15"/>
    <mergeCell ref="D24:G24"/>
    <mergeCell ref="D28:G28"/>
    <mergeCell ref="I28:L28"/>
    <mergeCell ref="I24:L24"/>
    <mergeCell ref="C152:D152"/>
    <mergeCell ref="C151:D151"/>
    <mergeCell ref="C150:D150"/>
    <mergeCell ref="I152:J152"/>
    <mergeCell ref="I151:J151"/>
    <mergeCell ref="I150:J150"/>
    <mergeCell ref="I50:L50"/>
    <mergeCell ref="I52:L52"/>
    <mergeCell ref="C50:D50"/>
    <mergeCell ref="B121:L121"/>
    <mergeCell ref="B114:F114"/>
    <mergeCell ref="H114:L114"/>
    <mergeCell ref="C116:D116"/>
    <mergeCell ref="I116:J116"/>
    <mergeCell ref="C117:D117"/>
    <mergeCell ref="I117:J117"/>
    <mergeCell ref="C119:D119"/>
    <mergeCell ref="B71:D71"/>
    <mergeCell ref="B93:D93"/>
    <mergeCell ref="B112:L112"/>
    <mergeCell ref="B87:L87"/>
    <mergeCell ref="C89:E89"/>
    <mergeCell ref="B139:F139"/>
    <mergeCell ref="H139:L139"/>
    <mergeCell ref="B165:L165"/>
    <mergeCell ref="B170:L170"/>
    <mergeCell ref="I118:J118"/>
    <mergeCell ref="C131:D131"/>
    <mergeCell ref="C135:D135"/>
    <mergeCell ref="C137:D137"/>
    <mergeCell ref="I131:J131"/>
    <mergeCell ref="I135:J135"/>
    <mergeCell ref="I137:J137"/>
    <mergeCell ref="B123:L123"/>
    <mergeCell ref="B125:F125"/>
    <mergeCell ref="H125:L125"/>
    <mergeCell ref="H129:L129"/>
    <mergeCell ref="B129:F129"/>
    <mergeCell ref="B127:F127"/>
    <mergeCell ref="H127:L127"/>
    <mergeCell ref="C141:D141"/>
  </mergeCells>
  <phoneticPr fontId="76" type="noConversion"/>
  <conditionalFormatting sqref="H1">
    <cfRule type="cellIs" dxfId="395" priority="4" operator="equal">
      <formula>"OK"</formula>
    </cfRule>
  </conditionalFormatting>
  <conditionalFormatting sqref="H1">
    <cfRule type="cellIs" dxfId="394" priority="3" operator="equal">
      <formula>"NO"</formula>
    </cfRule>
  </conditionalFormatting>
  <printOptions verticalCentered="1"/>
  <pageMargins left="0" right="0" top="0" bottom="0" header="0" footer="0"/>
  <pageSetup paperSize="9" scale="96" fitToHeight="0" orientation="portrait" r:id="rId1"/>
  <headerFooter differentFirst="1" scaleWithDoc="0" alignWithMargins="0">
    <oddHeader>&amp;L&amp;G</oddHeader>
    <oddFooter>&amp;L&amp;8 Ogni applicazione e calcolo devono essere esaminate e approvate da professionisti qualificati. La responsabilità della scelta del prodotto per la specifica applicazione, così come della sua eventuale posa in opera, resta in capo al Cliente.&amp;R&amp;P</oddFooter>
  </headerFooter>
  <rowBreaks count="6" manualBreakCount="6">
    <brk id="33" max="12" man="1"/>
    <brk id="63" max="12" man="1"/>
    <brk id="110" max="12" man="1"/>
    <brk id="153" max="12" man="1"/>
    <brk id="201" max="12" man="1"/>
    <brk id="273" max="12" man="1"/>
  </rowBreaks>
  <colBreaks count="4" manualBreakCount="4">
    <brk id="1" min="1" max="1061" man="1"/>
    <brk id="2" min="1" max="1061" man="1"/>
    <brk id="3" min="1" max="1061" man="1"/>
    <brk id="6" min="1" max="1061" man="1"/>
  </colBreaks>
  <drawing r:id="rId2"/>
  <legacyDrawing r:id="rId3"/>
  <legacyDrawingHF r:id="rId4"/>
  <oleObjects>
    <mc:AlternateContent xmlns:mc="http://schemas.openxmlformats.org/markup-compatibility/2006">
      <mc:Choice Requires="x14">
        <oleObject progId="Equation.DSMT4" shapeId="2056" r:id="rId5">
          <objectPr defaultSize="0" autoPict="0" r:id="rId6">
            <anchor moveWithCells="1">
              <from>
                <xdr:col>2</xdr:col>
                <xdr:colOff>209550</xdr:colOff>
                <xdr:row>335</xdr:row>
                <xdr:rowOff>152400</xdr:rowOff>
              </from>
              <to>
                <xdr:col>5</xdr:col>
                <xdr:colOff>66675</xdr:colOff>
                <xdr:row>338</xdr:row>
                <xdr:rowOff>161925</xdr:rowOff>
              </to>
            </anchor>
          </objectPr>
        </oleObject>
      </mc:Choice>
      <mc:Fallback>
        <oleObject progId="Equation.DSMT4" shapeId="2056" r:id="rId5"/>
      </mc:Fallback>
    </mc:AlternateContent>
    <mc:AlternateContent xmlns:mc="http://schemas.openxmlformats.org/markup-compatibility/2006">
      <mc:Choice Requires="x14">
        <oleObject progId="Equation.DSMT4" shapeId="2057" r:id="rId7">
          <objectPr defaultSize="0" autoPict="0" r:id="rId8">
            <anchor moveWithCells="1">
              <from>
                <xdr:col>2</xdr:col>
                <xdr:colOff>285750</xdr:colOff>
                <xdr:row>341</xdr:row>
                <xdr:rowOff>152400</xdr:rowOff>
              </from>
              <to>
                <xdr:col>5</xdr:col>
                <xdr:colOff>28575</xdr:colOff>
                <xdr:row>345</xdr:row>
                <xdr:rowOff>19050</xdr:rowOff>
              </to>
            </anchor>
          </objectPr>
        </oleObject>
      </mc:Choice>
      <mc:Fallback>
        <oleObject progId="Equation.DSMT4" shapeId="2057" r:id="rId7"/>
      </mc:Fallback>
    </mc:AlternateContent>
    <mc:AlternateContent xmlns:mc="http://schemas.openxmlformats.org/markup-compatibility/2006">
      <mc:Choice Requires="x14">
        <oleObject progId="Equation.DSMT4" shapeId="2058" r:id="rId9">
          <objectPr defaultSize="0" autoPict="0" r:id="rId10">
            <anchor moveWithCells="1">
              <from>
                <xdr:col>2</xdr:col>
                <xdr:colOff>190500</xdr:colOff>
                <xdr:row>396</xdr:row>
                <xdr:rowOff>114300</xdr:rowOff>
              </from>
              <to>
                <xdr:col>5</xdr:col>
                <xdr:colOff>38100</xdr:colOff>
                <xdr:row>399</xdr:row>
                <xdr:rowOff>123825</xdr:rowOff>
              </to>
            </anchor>
          </objectPr>
        </oleObject>
      </mc:Choice>
      <mc:Fallback>
        <oleObject progId="Equation.DSMT4" shapeId="2058" r:id="rId9"/>
      </mc:Fallback>
    </mc:AlternateContent>
    <mc:AlternateContent xmlns:mc="http://schemas.openxmlformats.org/markup-compatibility/2006">
      <mc:Choice Requires="x14">
        <oleObject progId="Equation.DSMT4" shapeId="2059" r:id="rId11">
          <objectPr defaultSize="0" autoPict="0" r:id="rId12">
            <anchor moveWithCells="1">
              <from>
                <xdr:col>2</xdr:col>
                <xdr:colOff>314325</xdr:colOff>
                <xdr:row>402</xdr:row>
                <xdr:rowOff>19050</xdr:rowOff>
              </from>
              <to>
                <xdr:col>5</xdr:col>
                <xdr:colOff>66675</xdr:colOff>
                <xdr:row>405</xdr:row>
                <xdr:rowOff>57150</xdr:rowOff>
              </to>
            </anchor>
          </objectPr>
        </oleObject>
      </mc:Choice>
      <mc:Fallback>
        <oleObject progId="Equation.DSMT4" shapeId="2059" r:id="rId11"/>
      </mc:Fallback>
    </mc:AlternateContent>
    <mc:AlternateContent xmlns:mc="http://schemas.openxmlformats.org/markup-compatibility/2006">
      <mc:Choice Requires="x14">
        <oleObject progId="Equation.DSMT4" shapeId="2060" r:id="rId13">
          <objectPr defaultSize="0" autoPict="0" r:id="rId14">
            <anchor moveWithCells="1">
              <from>
                <xdr:col>3</xdr:col>
                <xdr:colOff>390525</xdr:colOff>
                <xdr:row>407</xdr:row>
                <xdr:rowOff>152400</xdr:rowOff>
              </from>
              <to>
                <xdr:col>4</xdr:col>
                <xdr:colOff>504825</xdr:colOff>
                <xdr:row>411</xdr:row>
                <xdr:rowOff>9525</xdr:rowOff>
              </to>
            </anchor>
          </objectPr>
        </oleObject>
      </mc:Choice>
      <mc:Fallback>
        <oleObject progId="Equation.DSMT4" shapeId="2060" r:id="rId13"/>
      </mc:Fallback>
    </mc:AlternateContent>
    <mc:AlternateContent xmlns:mc="http://schemas.openxmlformats.org/markup-compatibility/2006">
      <mc:Choice Requires="x14">
        <oleObject progId="Equation.DSMT4" shapeId="2061" r:id="rId15">
          <objectPr defaultSize="0" autoPict="0" r:id="rId16">
            <anchor moveWithCells="1">
              <from>
                <xdr:col>3</xdr:col>
                <xdr:colOff>9525</xdr:colOff>
                <xdr:row>411</xdr:row>
                <xdr:rowOff>9525</xdr:rowOff>
              </from>
              <to>
                <xdr:col>4</xdr:col>
                <xdr:colOff>514350</xdr:colOff>
                <xdr:row>413</xdr:row>
                <xdr:rowOff>161925</xdr:rowOff>
              </to>
            </anchor>
          </objectPr>
        </oleObject>
      </mc:Choice>
      <mc:Fallback>
        <oleObject progId="Equation.DSMT4" shapeId="2061" r:id="rId15"/>
      </mc:Fallback>
    </mc:AlternateContent>
    <mc:AlternateContent xmlns:mc="http://schemas.openxmlformats.org/markup-compatibility/2006">
      <mc:Choice Requires="x14">
        <oleObject progId="Equation.DSMT4" shapeId="2062" r:id="rId17">
          <objectPr defaultSize="0" autoPict="0" r:id="rId18">
            <anchor moveWithCells="1">
              <from>
                <xdr:col>1</xdr:col>
                <xdr:colOff>1200150</xdr:colOff>
                <xdr:row>418</xdr:row>
                <xdr:rowOff>9525</xdr:rowOff>
              </from>
              <to>
                <xdr:col>3</xdr:col>
                <xdr:colOff>552450</xdr:colOff>
                <xdr:row>421</xdr:row>
                <xdr:rowOff>0</xdr:rowOff>
              </to>
            </anchor>
          </objectPr>
        </oleObject>
      </mc:Choice>
      <mc:Fallback>
        <oleObject progId="Equation.DSMT4" shapeId="2062" r:id="rId17"/>
      </mc:Fallback>
    </mc:AlternateContent>
    <mc:AlternateContent xmlns:mc="http://schemas.openxmlformats.org/markup-compatibility/2006">
      <mc:Choice Requires="x14">
        <oleObject progId="Equation.DSMT4" shapeId="2063" r:id="rId19">
          <objectPr defaultSize="0" autoPict="0" r:id="rId20">
            <anchor moveWithCells="1">
              <from>
                <xdr:col>4</xdr:col>
                <xdr:colOff>352425</xdr:colOff>
                <xdr:row>431</xdr:row>
                <xdr:rowOff>123825</xdr:rowOff>
              </from>
              <to>
                <xdr:col>6</xdr:col>
                <xdr:colOff>104775</xdr:colOff>
                <xdr:row>433</xdr:row>
                <xdr:rowOff>47625</xdr:rowOff>
              </to>
            </anchor>
          </objectPr>
        </oleObject>
      </mc:Choice>
      <mc:Fallback>
        <oleObject progId="Equation.DSMT4" shapeId="2063" r:id="rId19"/>
      </mc:Fallback>
    </mc:AlternateContent>
    <mc:AlternateContent xmlns:mc="http://schemas.openxmlformats.org/markup-compatibility/2006">
      <mc:Choice Requires="x14">
        <oleObject progId="Equation.DSMT4" shapeId="2064" r:id="rId21">
          <objectPr defaultSize="0" autoPict="0" r:id="rId22">
            <anchor moveWithCells="1">
              <from>
                <xdr:col>2</xdr:col>
                <xdr:colOff>209550</xdr:colOff>
                <xdr:row>438</xdr:row>
                <xdr:rowOff>142875</xdr:rowOff>
              </from>
              <to>
                <xdr:col>4</xdr:col>
                <xdr:colOff>561975</xdr:colOff>
                <xdr:row>442</xdr:row>
                <xdr:rowOff>57150</xdr:rowOff>
              </to>
            </anchor>
          </objectPr>
        </oleObject>
      </mc:Choice>
      <mc:Fallback>
        <oleObject progId="Equation.DSMT4" shapeId="2064" r:id="rId21"/>
      </mc:Fallback>
    </mc:AlternateContent>
    <mc:AlternateContent xmlns:mc="http://schemas.openxmlformats.org/markup-compatibility/2006">
      <mc:Choice Requires="x14">
        <oleObject progId="Equation.DSMT4" shapeId="2065" r:id="rId23">
          <objectPr defaultSize="0" autoPict="0" r:id="rId24">
            <anchor moveWithCells="1">
              <from>
                <xdr:col>3</xdr:col>
                <xdr:colOff>333375</xdr:colOff>
                <xdr:row>444</xdr:row>
                <xdr:rowOff>9525</xdr:rowOff>
              </from>
              <to>
                <xdr:col>5</xdr:col>
                <xdr:colOff>114300</xdr:colOff>
                <xdr:row>446</xdr:row>
                <xdr:rowOff>152400</xdr:rowOff>
              </to>
            </anchor>
          </objectPr>
        </oleObject>
      </mc:Choice>
      <mc:Fallback>
        <oleObject progId="Equation.DSMT4" shapeId="2065" r:id="rId23"/>
      </mc:Fallback>
    </mc:AlternateContent>
    <mc:AlternateContent xmlns:mc="http://schemas.openxmlformats.org/markup-compatibility/2006">
      <mc:Choice Requires="x14">
        <oleObject progId="Equation.DSMT4" shapeId="2066" r:id="rId25">
          <objectPr defaultSize="0" autoPict="0" r:id="rId26">
            <anchor moveWithCells="1">
              <from>
                <xdr:col>4</xdr:col>
                <xdr:colOff>476250</xdr:colOff>
                <xdr:row>455</xdr:row>
                <xdr:rowOff>57150</xdr:rowOff>
              </from>
              <to>
                <xdr:col>6</xdr:col>
                <xdr:colOff>47625</xdr:colOff>
                <xdr:row>456</xdr:row>
                <xdr:rowOff>142875</xdr:rowOff>
              </to>
            </anchor>
          </objectPr>
        </oleObject>
      </mc:Choice>
      <mc:Fallback>
        <oleObject progId="Equation.DSMT4" shapeId="2066" r:id="rId25"/>
      </mc:Fallback>
    </mc:AlternateContent>
    <mc:AlternateContent xmlns:mc="http://schemas.openxmlformats.org/markup-compatibility/2006">
      <mc:Choice Requires="x14">
        <oleObject progId="Equation.DSMT4" shapeId="2067" r:id="rId27">
          <objectPr defaultSize="0" autoPict="0" r:id="rId28">
            <anchor moveWithCells="1">
              <from>
                <xdr:col>1</xdr:col>
                <xdr:colOff>828675</xdr:colOff>
                <xdr:row>805</xdr:row>
                <xdr:rowOff>104775</xdr:rowOff>
              </from>
              <to>
                <xdr:col>5</xdr:col>
                <xdr:colOff>104775</xdr:colOff>
                <xdr:row>807</xdr:row>
                <xdr:rowOff>57150</xdr:rowOff>
              </to>
            </anchor>
          </objectPr>
        </oleObject>
      </mc:Choice>
      <mc:Fallback>
        <oleObject progId="Equation.DSMT4" shapeId="2067" r:id="rId27"/>
      </mc:Fallback>
    </mc:AlternateContent>
    <mc:AlternateContent xmlns:mc="http://schemas.openxmlformats.org/markup-compatibility/2006">
      <mc:Choice Requires="x14">
        <oleObject progId="Equation.DSMT4" shapeId="2068" r:id="rId29">
          <objectPr defaultSize="0" autoPict="0" r:id="rId30">
            <anchor moveWithCells="1">
              <from>
                <xdr:col>2</xdr:col>
                <xdr:colOff>238125</xdr:colOff>
                <xdr:row>811</xdr:row>
                <xdr:rowOff>85725</xdr:rowOff>
              </from>
              <to>
                <xdr:col>5</xdr:col>
                <xdr:colOff>95250</xdr:colOff>
                <xdr:row>815</xdr:row>
                <xdr:rowOff>28575</xdr:rowOff>
              </to>
            </anchor>
          </objectPr>
        </oleObject>
      </mc:Choice>
      <mc:Fallback>
        <oleObject progId="Equation.DSMT4" shapeId="2068" r:id="rId29"/>
      </mc:Fallback>
    </mc:AlternateContent>
    <mc:AlternateContent xmlns:mc="http://schemas.openxmlformats.org/markup-compatibility/2006">
      <mc:Choice Requires="x14">
        <oleObject progId="Equation.DSMT4" shapeId="2069" r:id="rId31">
          <objectPr defaultSize="0" autoPict="0" r:id="rId32">
            <anchor moveWithCells="1">
              <from>
                <xdr:col>2</xdr:col>
                <xdr:colOff>333375</xdr:colOff>
                <xdr:row>816</xdr:row>
                <xdr:rowOff>9525</xdr:rowOff>
              </from>
              <to>
                <xdr:col>5</xdr:col>
                <xdr:colOff>95250</xdr:colOff>
                <xdr:row>819</xdr:row>
                <xdr:rowOff>47625</xdr:rowOff>
              </to>
            </anchor>
          </objectPr>
        </oleObject>
      </mc:Choice>
      <mc:Fallback>
        <oleObject progId="Equation.DSMT4" shapeId="2069" r:id="rId31"/>
      </mc:Fallback>
    </mc:AlternateContent>
    <mc:AlternateContent xmlns:mc="http://schemas.openxmlformats.org/markup-compatibility/2006">
      <mc:Choice Requires="x14">
        <oleObject progId="Equation.DSMT4" shapeId="2070" r:id="rId33">
          <objectPr defaultSize="0" autoPict="0" r:id="rId34">
            <anchor moveWithCells="1">
              <from>
                <xdr:col>3</xdr:col>
                <xdr:colOff>419100</xdr:colOff>
                <xdr:row>820</xdr:row>
                <xdr:rowOff>0</xdr:rowOff>
              </from>
              <to>
                <xdr:col>5</xdr:col>
                <xdr:colOff>19050</xdr:colOff>
                <xdr:row>821</xdr:row>
                <xdr:rowOff>76200</xdr:rowOff>
              </to>
            </anchor>
          </objectPr>
        </oleObject>
      </mc:Choice>
      <mc:Fallback>
        <oleObject progId="Equation.DSMT4" shapeId="2070" r:id="rId33"/>
      </mc:Fallback>
    </mc:AlternateContent>
    <mc:AlternateContent xmlns:mc="http://schemas.openxmlformats.org/markup-compatibility/2006">
      <mc:Choice Requires="x14">
        <oleObject progId="Equation.DSMT4" shapeId="2078" r:id="rId35">
          <objectPr defaultSize="0" autoPict="0" r:id="rId36">
            <anchor moveWithCells="1">
              <from>
                <xdr:col>2</xdr:col>
                <xdr:colOff>57150</xdr:colOff>
                <xdr:row>885</xdr:row>
                <xdr:rowOff>57150</xdr:rowOff>
              </from>
              <to>
                <xdr:col>4</xdr:col>
                <xdr:colOff>542925</xdr:colOff>
                <xdr:row>889</xdr:row>
                <xdr:rowOff>9525</xdr:rowOff>
              </to>
            </anchor>
          </objectPr>
        </oleObject>
      </mc:Choice>
      <mc:Fallback>
        <oleObject progId="Equation.DSMT4" shapeId="2078" r:id="rId35"/>
      </mc:Fallback>
    </mc:AlternateContent>
    <mc:AlternateContent xmlns:mc="http://schemas.openxmlformats.org/markup-compatibility/2006">
      <mc:Choice Requires="x14">
        <oleObject progId="Equation.DSMT4" shapeId="2080" r:id="rId37">
          <objectPr defaultSize="0" autoPict="0" r:id="rId34">
            <anchor moveWithCells="1">
              <from>
                <xdr:col>3</xdr:col>
                <xdr:colOff>209550</xdr:colOff>
                <xdr:row>893</xdr:row>
                <xdr:rowOff>114300</xdr:rowOff>
              </from>
              <to>
                <xdr:col>4</xdr:col>
                <xdr:colOff>438150</xdr:colOff>
                <xdr:row>895</xdr:row>
                <xdr:rowOff>19050</xdr:rowOff>
              </to>
            </anchor>
          </objectPr>
        </oleObject>
      </mc:Choice>
      <mc:Fallback>
        <oleObject progId="Equation.DSMT4" shapeId="2080" r:id="rId37"/>
      </mc:Fallback>
    </mc:AlternateContent>
    <mc:AlternateContent xmlns:mc="http://schemas.openxmlformats.org/markup-compatibility/2006">
      <mc:Choice Requires="x14">
        <oleObject progId="Equation.DSMT4" shapeId="2083" r:id="rId38">
          <objectPr defaultSize="0" autoPict="0" r:id="rId39">
            <anchor moveWithCells="1">
              <from>
                <xdr:col>2</xdr:col>
                <xdr:colOff>390525</xdr:colOff>
                <xdr:row>838</xdr:row>
                <xdr:rowOff>76200</xdr:rowOff>
              </from>
              <to>
                <xdr:col>5</xdr:col>
                <xdr:colOff>171450</xdr:colOff>
                <xdr:row>841</xdr:row>
                <xdr:rowOff>85725</xdr:rowOff>
              </to>
            </anchor>
          </objectPr>
        </oleObject>
      </mc:Choice>
      <mc:Fallback>
        <oleObject progId="Equation.DSMT4" shapeId="2083" r:id="rId38"/>
      </mc:Fallback>
    </mc:AlternateContent>
    <mc:AlternateContent xmlns:mc="http://schemas.openxmlformats.org/markup-compatibility/2006">
      <mc:Choice Requires="x14">
        <oleObject progId="Equation.DSMT4" shapeId="2084" r:id="rId40">
          <objectPr defaultSize="0" autoPict="0" r:id="rId41">
            <anchor moveWithCells="1">
              <from>
                <xdr:col>2</xdr:col>
                <xdr:colOff>428625</xdr:colOff>
                <xdr:row>843</xdr:row>
                <xdr:rowOff>133350</xdr:rowOff>
              </from>
              <to>
                <xdr:col>5</xdr:col>
                <xdr:colOff>142875</xdr:colOff>
                <xdr:row>846</xdr:row>
                <xdr:rowOff>161925</xdr:rowOff>
              </to>
            </anchor>
          </objectPr>
        </oleObject>
      </mc:Choice>
      <mc:Fallback>
        <oleObject progId="Equation.DSMT4" shapeId="2084" r:id="rId40"/>
      </mc:Fallback>
    </mc:AlternateContent>
    <mc:AlternateContent xmlns:mc="http://schemas.openxmlformats.org/markup-compatibility/2006">
      <mc:Choice Requires="x14">
        <oleObject progId="Equation.DSMT4" shapeId="2085" r:id="rId42">
          <objectPr defaultSize="0" autoPict="0" r:id="rId43">
            <anchor moveWithCells="1">
              <from>
                <xdr:col>2</xdr:col>
                <xdr:colOff>381000</xdr:colOff>
                <xdr:row>911</xdr:row>
                <xdr:rowOff>85725</xdr:rowOff>
              </from>
              <to>
                <xdr:col>4</xdr:col>
                <xdr:colOff>523875</xdr:colOff>
                <xdr:row>914</xdr:row>
                <xdr:rowOff>95250</xdr:rowOff>
              </to>
            </anchor>
          </objectPr>
        </oleObject>
      </mc:Choice>
      <mc:Fallback>
        <oleObject progId="Equation.DSMT4" shapeId="2085" r:id="rId42"/>
      </mc:Fallback>
    </mc:AlternateContent>
    <mc:AlternateContent xmlns:mc="http://schemas.openxmlformats.org/markup-compatibility/2006">
      <mc:Choice Requires="x14">
        <oleObject progId="Equation.DSMT4" shapeId="2088" r:id="rId44">
          <objectPr defaultSize="0" autoPict="0" r:id="rId45">
            <anchor moveWithCells="1">
              <from>
                <xdr:col>2</xdr:col>
                <xdr:colOff>133350</xdr:colOff>
                <xdr:row>940</xdr:row>
                <xdr:rowOff>85725</xdr:rowOff>
              </from>
              <to>
                <xdr:col>4</xdr:col>
                <xdr:colOff>400050</xdr:colOff>
                <xdr:row>942</xdr:row>
                <xdr:rowOff>19050</xdr:rowOff>
              </to>
            </anchor>
          </objectPr>
        </oleObject>
      </mc:Choice>
      <mc:Fallback>
        <oleObject progId="Equation.DSMT4" shapeId="2088" r:id="rId44"/>
      </mc:Fallback>
    </mc:AlternateContent>
    <mc:AlternateContent xmlns:mc="http://schemas.openxmlformats.org/markup-compatibility/2006">
      <mc:Choice Requires="x14">
        <oleObject progId="Equation.DSMT4" shapeId="2094" r:id="rId46">
          <objectPr defaultSize="0" autoPict="0" r:id="rId47">
            <anchor moveWithCells="1">
              <from>
                <xdr:col>3</xdr:col>
                <xdr:colOff>428625</xdr:colOff>
                <xdr:row>350</xdr:row>
                <xdr:rowOff>0</xdr:rowOff>
              </from>
              <to>
                <xdr:col>4</xdr:col>
                <xdr:colOff>552450</xdr:colOff>
                <xdr:row>353</xdr:row>
                <xdr:rowOff>19050</xdr:rowOff>
              </to>
            </anchor>
          </objectPr>
        </oleObject>
      </mc:Choice>
      <mc:Fallback>
        <oleObject progId="Equation.DSMT4" shapeId="2094" r:id="rId46"/>
      </mc:Fallback>
    </mc:AlternateContent>
    <mc:AlternateContent xmlns:mc="http://schemas.openxmlformats.org/markup-compatibility/2006">
      <mc:Choice Requires="x14">
        <oleObject progId="Equation.DSMT4" shapeId="2095" r:id="rId48">
          <objectPr defaultSize="0" autoPict="0" r:id="rId49">
            <anchor moveWithCells="1">
              <from>
                <xdr:col>2</xdr:col>
                <xdr:colOff>590550</xdr:colOff>
                <xdr:row>353</xdr:row>
                <xdr:rowOff>9525</xdr:rowOff>
              </from>
              <to>
                <xdr:col>5</xdr:col>
                <xdr:colOff>66675</xdr:colOff>
                <xdr:row>356</xdr:row>
                <xdr:rowOff>47625</xdr:rowOff>
              </to>
            </anchor>
          </objectPr>
        </oleObject>
      </mc:Choice>
      <mc:Fallback>
        <oleObject progId="Equation.DSMT4" shapeId="2095" r:id="rId48"/>
      </mc:Fallback>
    </mc:AlternateContent>
    <mc:AlternateContent xmlns:mc="http://schemas.openxmlformats.org/markup-compatibility/2006">
      <mc:Choice Requires="x14">
        <oleObject progId="Equation.DSMT4" shapeId="2096" r:id="rId50">
          <objectPr defaultSize="0" autoPict="0" r:id="rId51">
            <anchor moveWithCells="1">
              <from>
                <xdr:col>2</xdr:col>
                <xdr:colOff>19050</xdr:colOff>
                <xdr:row>361</xdr:row>
                <xdr:rowOff>28575</xdr:rowOff>
              </from>
              <to>
                <xdr:col>4</xdr:col>
                <xdr:colOff>85725</xdr:colOff>
                <xdr:row>364</xdr:row>
                <xdr:rowOff>57150</xdr:rowOff>
              </to>
            </anchor>
          </objectPr>
        </oleObject>
      </mc:Choice>
      <mc:Fallback>
        <oleObject progId="Equation.DSMT4" shapeId="2096" r:id="rId50"/>
      </mc:Fallback>
    </mc:AlternateContent>
    <mc:AlternateContent xmlns:mc="http://schemas.openxmlformats.org/markup-compatibility/2006">
      <mc:Choice Requires="x14">
        <oleObject progId="Equation.DSMT4" shapeId="2098" r:id="rId52">
          <objectPr defaultSize="0" autoPict="0" r:id="rId53">
            <anchor moveWithCells="1">
              <from>
                <xdr:col>2</xdr:col>
                <xdr:colOff>428625</xdr:colOff>
                <xdr:row>373</xdr:row>
                <xdr:rowOff>47625</xdr:rowOff>
              </from>
              <to>
                <xdr:col>4</xdr:col>
                <xdr:colOff>171450</xdr:colOff>
                <xdr:row>375</xdr:row>
                <xdr:rowOff>9525</xdr:rowOff>
              </to>
            </anchor>
          </objectPr>
        </oleObject>
      </mc:Choice>
      <mc:Fallback>
        <oleObject progId="Equation.DSMT4" shapeId="2098" r:id="rId52"/>
      </mc:Fallback>
    </mc:AlternateContent>
    <mc:AlternateContent xmlns:mc="http://schemas.openxmlformats.org/markup-compatibility/2006">
      <mc:Choice Requires="x14">
        <oleObject progId="Equation.DSMT4" shapeId="2100" r:id="rId54">
          <objectPr defaultSize="0" autoPict="0" r:id="rId55">
            <anchor moveWithCells="1">
              <from>
                <xdr:col>2</xdr:col>
                <xdr:colOff>476250</xdr:colOff>
                <xdr:row>579</xdr:row>
                <xdr:rowOff>123825</xdr:rowOff>
              </from>
              <to>
                <xdr:col>4</xdr:col>
                <xdr:colOff>304800</xdr:colOff>
                <xdr:row>581</xdr:row>
                <xdr:rowOff>161925</xdr:rowOff>
              </to>
            </anchor>
          </objectPr>
        </oleObject>
      </mc:Choice>
      <mc:Fallback>
        <oleObject progId="Equation.DSMT4" shapeId="2100" r:id="rId54"/>
      </mc:Fallback>
    </mc:AlternateContent>
    <mc:AlternateContent xmlns:mc="http://schemas.openxmlformats.org/markup-compatibility/2006">
      <mc:Choice Requires="x14">
        <oleObject progId="Equation.DSMT4" shapeId="2101" r:id="rId56">
          <objectPr defaultSize="0" autoPict="0" r:id="rId24">
            <anchor moveWithCells="1">
              <from>
                <xdr:col>3</xdr:col>
                <xdr:colOff>114300</xdr:colOff>
                <xdr:row>595</xdr:row>
                <xdr:rowOff>47625</xdr:rowOff>
              </from>
              <to>
                <xdr:col>5</xdr:col>
                <xdr:colOff>9525</xdr:colOff>
                <xdr:row>598</xdr:row>
                <xdr:rowOff>19050</xdr:rowOff>
              </to>
            </anchor>
          </objectPr>
        </oleObject>
      </mc:Choice>
      <mc:Fallback>
        <oleObject progId="Equation.DSMT4" shapeId="2101" r:id="rId56"/>
      </mc:Fallback>
    </mc:AlternateContent>
    <mc:AlternateContent xmlns:mc="http://schemas.openxmlformats.org/markup-compatibility/2006">
      <mc:Choice Requires="x14">
        <oleObject progId="Equation.DSMT4" shapeId="2102" r:id="rId57">
          <objectPr defaultSize="0" autoPict="0" r:id="rId26">
            <anchor moveWithCells="1">
              <from>
                <xdr:col>1</xdr:col>
                <xdr:colOff>1228725</xdr:colOff>
                <xdr:row>605</xdr:row>
                <xdr:rowOff>85725</xdr:rowOff>
              </from>
              <to>
                <xdr:col>3</xdr:col>
                <xdr:colOff>285750</xdr:colOff>
                <xdr:row>607</xdr:row>
                <xdr:rowOff>114300</xdr:rowOff>
              </to>
            </anchor>
          </objectPr>
        </oleObject>
      </mc:Choice>
      <mc:Fallback>
        <oleObject progId="Equation.DSMT4" shapeId="2102" r:id="rId57"/>
      </mc:Fallback>
    </mc:AlternateContent>
    <mc:AlternateContent xmlns:mc="http://schemas.openxmlformats.org/markup-compatibility/2006">
      <mc:Choice Requires="x14">
        <oleObject progId="Equation.DSMT4" shapeId="2103" r:id="rId58">
          <objectPr defaultSize="0" autoPict="0" r:id="rId59">
            <anchor moveWithCells="1">
              <from>
                <xdr:col>1</xdr:col>
                <xdr:colOff>657225</xdr:colOff>
                <xdr:row>511</xdr:row>
                <xdr:rowOff>47625</xdr:rowOff>
              </from>
              <to>
                <xdr:col>3</xdr:col>
                <xdr:colOff>276225</xdr:colOff>
                <xdr:row>514</xdr:row>
                <xdr:rowOff>142875</xdr:rowOff>
              </to>
            </anchor>
          </objectPr>
        </oleObject>
      </mc:Choice>
      <mc:Fallback>
        <oleObject progId="Equation.DSMT4" shapeId="2103" r:id="rId58"/>
      </mc:Fallback>
    </mc:AlternateContent>
    <mc:AlternateContent xmlns:mc="http://schemas.openxmlformats.org/markup-compatibility/2006">
      <mc:Choice Requires="x14">
        <oleObject progId="Equation.DSMT4" shapeId="2104" r:id="rId60">
          <objectPr defaultSize="0" autoPict="0" r:id="rId61">
            <anchor moveWithCells="1">
              <from>
                <xdr:col>2</xdr:col>
                <xdr:colOff>485775</xdr:colOff>
                <xdr:row>524</xdr:row>
                <xdr:rowOff>57150</xdr:rowOff>
              </from>
              <to>
                <xdr:col>4</xdr:col>
                <xdr:colOff>314325</xdr:colOff>
                <xdr:row>526</xdr:row>
                <xdr:rowOff>95250</xdr:rowOff>
              </to>
            </anchor>
          </objectPr>
        </oleObject>
      </mc:Choice>
      <mc:Fallback>
        <oleObject progId="Equation.DSMT4" shapeId="2104" r:id="rId60"/>
      </mc:Fallback>
    </mc:AlternateContent>
    <mc:AlternateContent xmlns:mc="http://schemas.openxmlformats.org/markup-compatibility/2006">
      <mc:Choice Requires="x14">
        <oleObject progId="Equation.DSMT4" shapeId="2118" r:id="rId62">
          <objectPr defaultSize="0" autoPict="0" r:id="rId63">
            <anchor moveWithCells="1">
              <from>
                <xdr:col>1</xdr:col>
                <xdr:colOff>590550</xdr:colOff>
                <xdr:row>427</xdr:row>
                <xdr:rowOff>85725</xdr:rowOff>
              </from>
              <to>
                <xdr:col>4</xdr:col>
                <xdr:colOff>466725</xdr:colOff>
                <xdr:row>430</xdr:row>
                <xdr:rowOff>95250</xdr:rowOff>
              </to>
            </anchor>
          </objectPr>
        </oleObject>
      </mc:Choice>
      <mc:Fallback>
        <oleObject progId="Equation.DSMT4" shapeId="2118" r:id="rId62"/>
      </mc:Fallback>
    </mc:AlternateContent>
    <mc:AlternateContent xmlns:mc="http://schemas.openxmlformats.org/markup-compatibility/2006">
      <mc:Choice Requires="x14">
        <oleObject progId="Equation.DSMT4" shapeId="2119" r:id="rId64">
          <objectPr defaultSize="0" autoPict="0" r:id="rId65">
            <anchor moveWithCells="1">
              <from>
                <xdr:col>1</xdr:col>
                <xdr:colOff>1000125</xdr:colOff>
                <xdr:row>424</xdr:row>
                <xdr:rowOff>123825</xdr:rowOff>
              </from>
              <to>
                <xdr:col>5</xdr:col>
                <xdr:colOff>9525</xdr:colOff>
                <xdr:row>427</xdr:row>
                <xdr:rowOff>19050</xdr:rowOff>
              </to>
            </anchor>
          </objectPr>
        </oleObject>
      </mc:Choice>
      <mc:Fallback>
        <oleObject progId="Equation.DSMT4" shapeId="2119" r:id="rId64"/>
      </mc:Fallback>
    </mc:AlternateContent>
    <mc:AlternateContent xmlns:mc="http://schemas.openxmlformats.org/markup-compatibility/2006">
      <mc:Choice Requires="x14">
        <oleObject progId="Equation.DSMT4" shapeId="2120" r:id="rId66">
          <objectPr defaultSize="0" autoPict="0" r:id="rId67">
            <anchor moveWithCells="1">
              <from>
                <xdr:col>1</xdr:col>
                <xdr:colOff>561975</xdr:colOff>
                <xdr:row>520</xdr:row>
                <xdr:rowOff>19050</xdr:rowOff>
              </from>
              <to>
                <xdr:col>4</xdr:col>
                <xdr:colOff>428625</xdr:colOff>
                <xdr:row>523</xdr:row>
                <xdr:rowOff>47625</xdr:rowOff>
              </to>
            </anchor>
          </objectPr>
        </oleObject>
      </mc:Choice>
      <mc:Fallback>
        <oleObject progId="Equation.DSMT4" shapeId="2120" r:id="rId66"/>
      </mc:Fallback>
    </mc:AlternateContent>
    <mc:AlternateContent xmlns:mc="http://schemas.openxmlformats.org/markup-compatibility/2006">
      <mc:Choice Requires="x14">
        <oleObject progId="Equation.DSMT4" shapeId="2121" r:id="rId68">
          <objectPr defaultSize="0" autoPict="0" r:id="rId69">
            <anchor moveWithCells="1">
              <from>
                <xdr:col>1</xdr:col>
                <xdr:colOff>981075</xdr:colOff>
                <xdr:row>517</xdr:row>
                <xdr:rowOff>123825</xdr:rowOff>
              </from>
              <to>
                <xdr:col>4</xdr:col>
                <xdr:colOff>571500</xdr:colOff>
                <xdr:row>520</xdr:row>
                <xdr:rowOff>19050</xdr:rowOff>
              </to>
            </anchor>
          </objectPr>
        </oleObject>
      </mc:Choice>
      <mc:Fallback>
        <oleObject progId="Equation.DSMT4" shapeId="2121" r:id="rId68"/>
      </mc:Fallback>
    </mc:AlternateContent>
    <mc:AlternateContent xmlns:mc="http://schemas.openxmlformats.org/markup-compatibility/2006">
      <mc:Choice Requires="x14">
        <oleObject progId="Equation.DSMT4" shapeId="2122" r:id="rId70">
          <objectPr defaultSize="0" autoPict="0" r:id="rId71">
            <anchor moveWithCells="1" sizeWithCells="1">
              <from>
                <xdr:col>2</xdr:col>
                <xdr:colOff>200025</xdr:colOff>
                <xdr:row>490</xdr:row>
                <xdr:rowOff>152400</xdr:rowOff>
              </from>
              <to>
                <xdr:col>5</xdr:col>
                <xdr:colOff>19050</xdr:colOff>
                <xdr:row>494</xdr:row>
                <xdr:rowOff>9525</xdr:rowOff>
              </to>
            </anchor>
          </objectPr>
        </oleObject>
      </mc:Choice>
      <mc:Fallback>
        <oleObject progId="Equation.DSMT4" shapeId="2122" r:id="rId70"/>
      </mc:Fallback>
    </mc:AlternateContent>
    <mc:AlternateContent xmlns:mc="http://schemas.openxmlformats.org/markup-compatibility/2006">
      <mc:Choice Requires="x14">
        <oleObject progId="Equation.DSMT4" shapeId="2123" r:id="rId72">
          <objectPr defaultSize="0" autoPict="0" r:id="rId73">
            <anchor moveWithCells="1" sizeWithCells="1">
              <from>
                <xdr:col>2</xdr:col>
                <xdr:colOff>295275</xdr:colOff>
                <xdr:row>497</xdr:row>
                <xdr:rowOff>28575</xdr:rowOff>
              </from>
              <to>
                <xdr:col>5</xdr:col>
                <xdr:colOff>9525</xdr:colOff>
                <xdr:row>500</xdr:row>
                <xdr:rowOff>85725</xdr:rowOff>
              </to>
            </anchor>
          </objectPr>
        </oleObject>
      </mc:Choice>
      <mc:Fallback>
        <oleObject progId="Equation.DSMT4" shapeId="2123" r:id="rId72"/>
      </mc:Fallback>
    </mc:AlternateContent>
    <mc:AlternateContent xmlns:mc="http://schemas.openxmlformats.org/markup-compatibility/2006">
      <mc:Choice Requires="x14">
        <oleObject progId="Equation.DSMT4" shapeId="2124" r:id="rId74">
          <objectPr defaultSize="0" autoPict="0" r:id="rId47">
            <anchor moveWithCells="1" sizeWithCells="1">
              <from>
                <xdr:col>3</xdr:col>
                <xdr:colOff>457200</xdr:colOff>
                <xdr:row>502</xdr:row>
                <xdr:rowOff>0</xdr:rowOff>
              </from>
              <to>
                <xdr:col>5</xdr:col>
                <xdr:colOff>28575</xdr:colOff>
                <xdr:row>505</xdr:row>
                <xdr:rowOff>19050</xdr:rowOff>
              </to>
            </anchor>
          </objectPr>
        </oleObject>
      </mc:Choice>
      <mc:Fallback>
        <oleObject progId="Equation.DSMT4" shapeId="2124" r:id="rId74"/>
      </mc:Fallback>
    </mc:AlternateContent>
    <mc:AlternateContent xmlns:mc="http://schemas.openxmlformats.org/markup-compatibility/2006">
      <mc:Choice Requires="x14">
        <oleObject progId="Equation.DSMT4" shapeId="2125" r:id="rId75">
          <objectPr defaultSize="0" autoPict="0" r:id="rId49">
            <anchor moveWithCells="1" sizeWithCells="1">
              <from>
                <xdr:col>3</xdr:col>
                <xdr:colOff>47625</xdr:colOff>
                <xdr:row>505</xdr:row>
                <xdr:rowOff>38100</xdr:rowOff>
              </from>
              <to>
                <xdr:col>5</xdr:col>
                <xdr:colOff>66675</xdr:colOff>
                <xdr:row>508</xdr:row>
                <xdr:rowOff>0</xdr:rowOff>
              </to>
            </anchor>
          </objectPr>
        </oleObject>
      </mc:Choice>
      <mc:Fallback>
        <oleObject progId="Equation.DSMT4" shapeId="2125" r:id="rId75"/>
      </mc:Fallback>
    </mc:AlternateContent>
    <mc:AlternateContent xmlns:mc="http://schemas.openxmlformats.org/markup-compatibility/2006">
      <mc:Choice Requires="x14">
        <oleObject progId="Equation.DSMT4" shapeId="2126" r:id="rId76">
          <objectPr defaultSize="0" autoPict="0" r:id="rId10">
            <anchor moveWithCells="1" sizeWithCells="1">
              <from>
                <xdr:col>1</xdr:col>
                <xdr:colOff>781050</xdr:colOff>
                <xdr:row>544</xdr:row>
                <xdr:rowOff>57150</xdr:rowOff>
              </from>
              <to>
                <xdr:col>3</xdr:col>
                <xdr:colOff>333375</xdr:colOff>
                <xdr:row>547</xdr:row>
                <xdr:rowOff>76200</xdr:rowOff>
              </to>
            </anchor>
          </objectPr>
        </oleObject>
      </mc:Choice>
      <mc:Fallback>
        <oleObject progId="Equation.DSMT4" shapeId="2126" r:id="rId76"/>
      </mc:Fallback>
    </mc:AlternateContent>
    <mc:AlternateContent xmlns:mc="http://schemas.openxmlformats.org/markup-compatibility/2006">
      <mc:Choice Requires="x14">
        <oleObject progId="Equation.DSMT4" shapeId="2127" r:id="rId77">
          <objectPr defaultSize="0" autoPict="0" r:id="rId12">
            <anchor moveWithCells="1" sizeWithCells="1">
              <from>
                <xdr:col>1</xdr:col>
                <xdr:colOff>800100</xdr:colOff>
                <xdr:row>549</xdr:row>
                <xdr:rowOff>104775</xdr:rowOff>
              </from>
              <to>
                <xdr:col>3</xdr:col>
                <xdr:colOff>247650</xdr:colOff>
                <xdr:row>553</xdr:row>
                <xdr:rowOff>0</xdr:rowOff>
              </to>
            </anchor>
          </objectPr>
        </oleObject>
      </mc:Choice>
      <mc:Fallback>
        <oleObject progId="Equation.DSMT4" shapeId="2127" r:id="rId77"/>
      </mc:Fallback>
    </mc:AlternateContent>
    <mc:AlternateContent xmlns:mc="http://schemas.openxmlformats.org/markup-compatibility/2006">
      <mc:Choice Requires="x14">
        <oleObject progId="Equation.DSMT4" shapeId="2128" r:id="rId78">
          <objectPr defaultSize="0" autoPict="0" r:id="rId14">
            <anchor moveWithCells="1" sizeWithCells="1">
              <from>
                <xdr:col>2</xdr:col>
                <xdr:colOff>390525</xdr:colOff>
                <xdr:row>555</xdr:row>
                <xdr:rowOff>57150</xdr:rowOff>
              </from>
              <to>
                <xdr:col>3</xdr:col>
                <xdr:colOff>438150</xdr:colOff>
                <xdr:row>558</xdr:row>
                <xdr:rowOff>95250</xdr:rowOff>
              </to>
            </anchor>
          </objectPr>
        </oleObject>
      </mc:Choice>
      <mc:Fallback>
        <oleObject progId="Equation.DSMT4" shapeId="2128" r:id="rId78"/>
      </mc:Fallback>
    </mc:AlternateContent>
    <mc:AlternateContent xmlns:mc="http://schemas.openxmlformats.org/markup-compatibility/2006">
      <mc:Choice Requires="x14">
        <oleObject progId="Equation.DSMT4" shapeId="2129" r:id="rId79">
          <objectPr defaultSize="0" autoPict="0" r:id="rId80">
            <anchor moveWithCells="1" sizeWithCells="1">
              <from>
                <xdr:col>2</xdr:col>
                <xdr:colOff>95250</xdr:colOff>
                <xdr:row>559</xdr:row>
                <xdr:rowOff>9525</xdr:rowOff>
              </from>
              <to>
                <xdr:col>4</xdr:col>
                <xdr:colOff>171450</xdr:colOff>
                <xdr:row>562</xdr:row>
                <xdr:rowOff>85725</xdr:rowOff>
              </to>
            </anchor>
          </objectPr>
        </oleObject>
      </mc:Choice>
      <mc:Fallback>
        <oleObject progId="Equation.DSMT4" shapeId="2129" r:id="rId79"/>
      </mc:Fallback>
    </mc:AlternateContent>
    <mc:AlternateContent xmlns:mc="http://schemas.openxmlformats.org/markup-compatibility/2006">
      <mc:Choice Requires="x14">
        <oleObject progId="Equation.DSMT4" shapeId="2130" r:id="rId81">
          <objectPr defaultSize="0" autoPict="0" r:id="rId18">
            <anchor moveWithCells="1" sizeWithCells="1">
              <from>
                <xdr:col>1</xdr:col>
                <xdr:colOff>895350</xdr:colOff>
                <xdr:row>566</xdr:row>
                <xdr:rowOff>28575</xdr:rowOff>
              </from>
              <to>
                <xdr:col>3</xdr:col>
                <xdr:colOff>238125</xdr:colOff>
                <xdr:row>569</xdr:row>
                <xdr:rowOff>133350</xdr:rowOff>
              </to>
            </anchor>
          </objectPr>
        </oleObject>
      </mc:Choice>
      <mc:Fallback>
        <oleObject progId="Equation.DSMT4" shapeId="2130" r:id="rId81"/>
      </mc:Fallback>
    </mc:AlternateContent>
    <mc:AlternateContent xmlns:mc="http://schemas.openxmlformats.org/markup-compatibility/2006">
      <mc:Choice Requires="x14">
        <oleObject progId="Equation.DSMT4" shapeId="2131" r:id="rId82">
          <objectPr defaultSize="0" autoPict="0" r:id="rId22">
            <anchor moveWithCells="1" sizeWithCells="1">
              <from>
                <xdr:col>2</xdr:col>
                <xdr:colOff>28575</xdr:colOff>
                <xdr:row>588</xdr:row>
                <xdr:rowOff>123825</xdr:rowOff>
              </from>
              <to>
                <xdr:col>4</xdr:col>
                <xdr:colOff>438150</xdr:colOff>
                <xdr:row>592</xdr:row>
                <xdr:rowOff>66675</xdr:rowOff>
              </to>
            </anchor>
          </objectPr>
        </oleObject>
      </mc:Choice>
      <mc:Fallback>
        <oleObject progId="Equation.DSMT4" shapeId="2131" r:id="rId82"/>
      </mc:Fallback>
    </mc:AlternateContent>
    <mc:AlternateContent xmlns:mc="http://schemas.openxmlformats.org/markup-compatibility/2006">
      <mc:Choice Requires="x14">
        <oleObject progId="Equation.DSMT4" shapeId="2133" r:id="rId83">
          <objectPr defaultSize="0" r:id="rId84">
            <anchor moveWithCells="1" sizeWithCells="1">
              <from>
                <xdr:col>2</xdr:col>
                <xdr:colOff>523875</xdr:colOff>
                <xdr:row>825</xdr:row>
                <xdr:rowOff>28575</xdr:rowOff>
              </from>
              <to>
                <xdr:col>4</xdr:col>
                <xdr:colOff>457200</xdr:colOff>
                <xdr:row>828</xdr:row>
                <xdr:rowOff>19050</xdr:rowOff>
              </to>
            </anchor>
          </objectPr>
        </oleObject>
      </mc:Choice>
      <mc:Fallback>
        <oleObject progId="Equation.DSMT4" shapeId="2133" r:id="rId83"/>
      </mc:Fallback>
    </mc:AlternateContent>
    <mc:AlternateContent xmlns:mc="http://schemas.openxmlformats.org/markup-compatibility/2006">
      <mc:Choice Requires="x14">
        <oleObject progId="Equation.DSMT4" shapeId="2134" r:id="rId85">
          <objectPr defaultSize="0" autoPict="0" r:id="rId86">
            <anchor moveWithCells="1" sizeWithCells="1">
              <from>
                <xdr:col>2</xdr:col>
                <xdr:colOff>600075</xdr:colOff>
                <xdr:row>901</xdr:row>
                <xdr:rowOff>19050</xdr:rowOff>
              </from>
              <to>
                <xdr:col>5</xdr:col>
                <xdr:colOff>19050</xdr:colOff>
                <xdr:row>904</xdr:row>
                <xdr:rowOff>142875</xdr:rowOff>
              </to>
            </anchor>
          </objectPr>
        </oleObject>
      </mc:Choice>
      <mc:Fallback>
        <oleObject progId="Equation.DSMT4" shapeId="2134" r:id="rId85"/>
      </mc:Fallback>
    </mc:AlternateContent>
    <mc:AlternateContent xmlns:mc="http://schemas.openxmlformats.org/markup-compatibility/2006">
      <mc:Choice Requires="x14">
        <oleObject progId="Equation.DSMT4" shapeId="2" r:id="rId87">
          <objectPr defaultSize="0" autoPict="0" r:id="rId88">
            <anchor moveWithCells="1">
              <from>
                <xdr:col>1</xdr:col>
                <xdr:colOff>1019175</xdr:colOff>
                <xdr:row>304</xdr:row>
                <xdr:rowOff>95250</xdr:rowOff>
              </from>
              <to>
                <xdr:col>5</xdr:col>
                <xdr:colOff>295275</xdr:colOff>
                <xdr:row>306</xdr:row>
                <xdr:rowOff>57150</xdr:rowOff>
              </to>
            </anchor>
          </objectPr>
        </oleObject>
      </mc:Choice>
      <mc:Fallback>
        <oleObject progId="Equation.DSMT4" shapeId="2137" r:id="rId87"/>
      </mc:Fallback>
    </mc:AlternateContent>
    <mc:AlternateContent xmlns:mc="http://schemas.openxmlformats.org/markup-compatibility/2006">
      <mc:Choice Requires="x14">
        <oleObject progId="Equation.DSMT4" shapeId="3" r:id="rId89">
          <objectPr defaultSize="0" autoPict="0" r:id="rId34">
            <anchor moveWithCells="1">
              <from>
                <xdr:col>3</xdr:col>
                <xdr:colOff>295275</xdr:colOff>
                <xdr:row>316</xdr:row>
                <xdr:rowOff>104775</xdr:rowOff>
              </from>
              <to>
                <xdr:col>4</xdr:col>
                <xdr:colOff>476250</xdr:colOff>
                <xdr:row>318</xdr:row>
                <xdr:rowOff>19050</xdr:rowOff>
              </to>
            </anchor>
          </objectPr>
        </oleObject>
      </mc:Choice>
      <mc:Fallback>
        <oleObject progId="Equation.DSMT4" shapeId="2138" r:id="rId89"/>
      </mc:Fallback>
    </mc:AlternateContent>
    <mc:AlternateContent xmlns:mc="http://schemas.openxmlformats.org/markup-compatibility/2006">
      <mc:Choice Requires="x14">
        <oleObject progId="Equation.DSMT4" shapeId="2142" r:id="rId90">
          <objectPr defaultSize="0" autoPict="0" r:id="rId91">
            <anchor moveWithCells="1">
              <from>
                <xdr:col>2</xdr:col>
                <xdr:colOff>171450</xdr:colOff>
                <xdr:row>312</xdr:row>
                <xdr:rowOff>142875</xdr:rowOff>
              </from>
              <to>
                <xdr:col>4</xdr:col>
                <xdr:colOff>485775</xdr:colOff>
                <xdr:row>316</xdr:row>
                <xdr:rowOff>9525</xdr:rowOff>
              </to>
            </anchor>
          </objectPr>
        </oleObject>
      </mc:Choice>
      <mc:Fallback>
        <oleObject progId="Equation.DSMT4" shapeId="2142" r:id="rId90"/>
      </mc:Fallback>
    </mc:AlternateContent>
    <mc:AlternateContent xmlns:mc="http://schemas.openxmlformats.org/markup-compatibility/2006">
      <mc:Choice Requires="x14">
        <oleObject progId="Equation.DSMT4" shapeId="2143" r:id="rId92">
          <objectPr defaultSize="0" r:id="rId93">
            <anchor moveWithCells="1" sizeWithCells="1">
              <from>
                <xdr:col>3</xdr:col>
                <xdr:colOff>9525</xdr:colOff>
                <xdr:row>324</xdr:row>
                <xdr:rowOff>28575</xdr:rowOff>
              </from>
              <to>
                <xdr:col>5</xdr:col>
                <xdr:colOff>47625</xdr:colOff>
                <xdr:row>327</xdr:row>
                <xdr:rowOff>0</xdr:rowOff>
              </to>
            </anchor>
          </objectPr>
        </oleObject>
      </mc:Choice>
      <mc:Fallback>
        <oleObject progId="Equation.DSMT4" shapeId="2143" r:id="rId92"/>
      </mc:Fallback>
    </mc:AlternateContent>
    <mc:AlternateContent xmlns:mc="http://schemas.openxmlformats.org/markup-compatibility/2006">
      <mc:Choice Requires="x14">
        <oleObject progId="Equation.DSMT4" shapeId="2144" r:id="rId94">
          <objectPr defaultSize="0" autoPict="0" r:id="rId63">
            <anchor moveWithCells="1">
              <from>
                <xdr:col>1</xdr:col>
                <xdr:colOff>742950</xdr:colOff>
                <xdr:row>576</xdr:row>
                <xdr:rowOff>104775</xdr:rowOff>
              </from>
              <to>
                <xdr:col>5</xdr:col>
                <xdr:colOff>28575</xdr:colOff>
                <xdr:row>579</xdr:row>
                <xdr:rowOff>123825</xdr:rowOff>
              </to>
            </anchor>
          </objectPr>
        </oleObject>
      </mc:Choice>
      <mc:Fallback>
        <oleObject progId="Equation.DSMT4" shapeId="2144" r:id="rId94"/>
      </mc:Fallback>
    </mc:AlternateContent>
    <mc:AlternateContent xmlns:mc="http://schemas.openxmlformats.org/markup-compatibility/2006">
      <mc:Choice Requires="x14">
        <oleObject progId="Equation.DSMT4" shapeId="2145" r:id="rId95">
          <objectPr defaultSize="0" autoPict="0" r:id="rId65">
            <anchor moveWithCells="1">
              <from>
                <xdr:col>1</xdr:col>
                <xdr:colOff>1009650</xdr:colOff>
                <xdr:row>573</xdr:row>
                <xdr:rowOff>142875</xdr:rowOff>
              </from>
              <to>
                <xdr:col>5</xdr:col>
                <xdr:colOff>19050</xdr:colOff>
                <xdr:row>576</xdr:row>
                <xdr:rowOff>47625</xdr:rowOff>
              </to>
            </anchor>
          </objectPr>
        </oleObject>
      </mc:Choice>
      <mc:Fallback>
        <oleObject progId="Equation.DSMT4" shapeId="2145" r:id="rId95"/>
      </mc:Fallback>
    </mc:AlternateContent>
    <mc:AlternateContent xmlns:mc="http://schemas.openxmlformats.org/markup-compatibility/2006">
      <mc:Choice Requires="x14">
        <oleObject progId="Equation.DSMT4" shapeId="2146" r:id="rId96">
          <objectPr defaultSize="0" autoPict="0" r:id="rId55">
            <anchor moveWithCells="1">
              <from>
                <xdr:col>2</xdr:col>
                <xdr:colOff>476250</xdr:colOff>
                <xdr:row>730</xdr:row>
                <xdr:rowOff>123825</xdr:rowOff>
              </from>
              <to>
                <xdr:col>4</xdr:col>
                <xdr:colOff>304800</xdr:colOff>
                <xdr:row>732</xdr:row>
                <xdr:rowOff>161925</xdr:rowOff>
              </to>
            </anchor>
          </objectPr>
        </oleObject>
      </mc:Choice>
      <mc:Fallback>
        <oleObject progId="Equation.DSMT4" shapeId="2146" r:id="rId96"/>
      </mc:Fallback>
    </mc:AlternateContent>
    <mc:AlternateContent xmlns:mc="http://schemas.openxmlformats.org/markup-compatibility/2006">
      <mc:Choice Requires="x14">
        <oleObject progId="Equation.DSMT4" shapeId="2147" r:id="rId97">
          <objectPr defaultSize="0" autoPict="0" r:id="rId24">
            <anchor moveWithCells="1">
              <from>
                <xdr:col>3</xdr:col>
                <xdr:colOff>219075</xdr:colOff>
                <xdr:row>745</xdr:row>
                <xdr:rowOff>38100</xdr:rowOff>
              </from>
              <to>
                <xdr:col>5</xdr:col>
                <xdr:colOff>9525</xdr:colOff>
                <xdr:row>748</xdr:row>
                <xdr:rowOff>19050</xdr:rowOff>
              </to>
            </anchor>
          </objectPr>
        </oleObject>
      </mc:Choice>
      <mc:Fallback>
        <oleObject progId="Equation.DSMT4" shapeId="2147" r:id="rId97"/>
      </mc:Fallback>
    </mc:AlternateContent>
    <mc:AlternateContent xmlns:mc="http://schemas.openxmlformats.org/markup-compatibility/2006">
      <mc:Choice Requires="x14">
        <oleObject progId="Equation.DSMT4" shapeId="2148" r:id="rId98">
          <objectPr defaultSize="0" autoPict="0" r:id="rId26">
            <anchor moveWithCells="1">
              <from>
                <xdr:col>1</xdr:col>
                <xdr:colOff>1228725</xdr:colOff>
                <xdr:row>750</xdr:row>
                <xdr:rowOff>85725</xdr:rowOff>
              </from>
              <to>
                <xdr:col>3</xdr:col>
                <xdr:colOff>285750</xdr:colOff>
                <xdr:row>752</xdr:row>
                <xdr:rowOff>114300</xdr:rowOff>
              </to>
            </anchor>
          </objectPr>
        </oleObject>
      </mc:Choice>
      <mc:Fallback>
        <oleObject progId="Equation.DSMT4" shapeId="2148" r:id="rId98"/>
      </mc:Fallback>
    </mc:AlternateContent>
    <mc:AlternateContent xmlns:mc="http://schemas.openxmlformats.org/markup-compatibility/2006">
      <mc:Choice Requires="x14">
        <oleObject progId="Equation.DSMT4" shapeId="2149" r:id="rId99">
          <objectPr defaultSize="0" autoPict="0" r:id="rId59">
            <anchor moveWithCells="1">
              <from>
                <xdr:col>1</xdr:col>
                <xdr:colOff>657225</xdr:colOff>
                <xdr:row>660</xdr:row>
                <xdr:rowOff>47625</xdr:rowOff>
              </from>
              <to>
                <xdr:col>3</xdr:col>
                <xdr:colOff>276225</xdr:colOff>
                <xdr:row>663</xdr:row>
                <xdr:rowOff>142875</xdr:rowOff>
              </to>
            </anchor>
          </objectPr>
        </oleObject>
      </mc:Choice>
      <mc:Fallback>
        <oleObject progId="Equation.DSMT4" shapeId="2149" r:id="rId99"/>
      </mc:Fallback>
    </mc:AlternateContent>
    <mc:AlternateContent xmlns:mc="http://schemas.openxmlformats.org/markup-compatibility/2006">
      <mc:Choice Requires="x14">
        <oleObject progId="Equation.DSMT4" shapeId="2150" r:id="rId100">
          <objectPr defaultSize="0" autoPict="0" r:id="rId61">
            <anchor moveWithCells="1">
              <from>
                <xdr:col>2</xdr:col>
                <xdr:colOff>476250</xdr:colOff>
                <xdr:row>673</xdr:row>
                <xdr:rowOff>123825</xdr:rowOff>
              </from>
              <to>
                <xdr:col>4</xdr:col>
                <xdr:colOff>304800</xdr:colOff>
                <xdr:row>675</xdr:row>
                <xdr:rowOff>161925</xdr:rowOff>
              </to>
            </anchor>
          </objectPr>
        </oleObject>
      </mc:Choice>
      <mc:Fallback>
        <oleObject progId="Equation.DSMT4" shapeId="2150" r:id="rId100"/>
      </mc:Fallback>
    </mc:AlternateContent>
    <mc:AlternateContent xmlns:mc="http://schemas.openxmlformats.org/markup-compatibility/2006">
      <mc:Choice Requires="x14">
        <oleObject progId="Equation.DSMT4" shapeId="2151" r:id="rId101">
          <objectPr defaultSize="0" autoPict="0" r:id="rId67">
            <anchor moveWithCells="1">
              <from>
                <xdr:col>1</xdr:col>
                <xdr:colOff>962025</xdr:colOff>
                <xdr:row>669</xdr:row>
                <xdr:rowOff>28575</xdr:rowOff>
              </from>
              <to>
                <xdr:col>5</xdr:col>
                <xdr:colOff>247650</xdr:colOff>
                <xdr:row>672</xdr:row>
                <xdr:rowOff>47625</xdr:rowOff>
              </to>
            </anchor>
          </objectPr>
        </oleObject>
      </mc:Choice>
      <mc:Fallback>
        <oleObject progId="Equation.DSMT4" shapeId="2151" r:id="rId101"/>
      </mc:Fallback>
    </mc:AlternateContent>
    <mc:AlternateContent xmlns:mc="http://schemas.openxmlformats.org/markup-compatibility/2006">
      <mc:Choice Requires="x14">
        <oleObject progId="Equation.DSMT4" shapeId="2152" r:id="rId102">
          <objectPr defaultSize="0" autoPict="0" r:id="rId69">
            <anchor moveWithCells="1">
              <from>
                <xdr:col>1</xdr:col>
                <xdr:colOff>981075</xdr:colOff>
                <xdr:row>666</xdr:row>
                <xdr:rowOff>123825</xdr:rowOff>
              </from>
              <to>
                <xdr:col>4</xdr:col>
                <xdr:colOff>571500</xdr:colOff>
                <xdr:row>669</xdr:row>
                <xdr:rowOff>19050</xdr:rowOff>
              </to>
            </anchor>
          </objectPr>
        </oleObject>
      </mc:Choice>
      <mc:Fallback>
        <oleObject progId="Equation.DSMT4" shapeId="2152" r:id="rId102"/>
      </mc:Fallback>
    </mc:AlternateContent>
    <mc:AlternateContent xmlns:mc="http://schemas.openxmlformats.org/markup-compatibility/2006">
      <mc:Choice Requires="x14">
        <oleObject progId="Equation.DSMT4" shapeId="2153" r:id="rId103">
          <objectPr defaultSize="0" autoPict="0" r:id="rId71">
            <anchor moveWithCells="1" sizeWithCells="1">
              <from>
                <xdr:col>2</xdr:col>
                <xdr:colOff>200025</xdr:colOff>
                <xdr:row>636</xdr:row>
                <xdr:rowOff>152400</xdr:rowOff>
              </from>
              <to>
                <xdr:col>5</xdr:col>
                <xdr:colOff>19050</xdr:colOff>
                <xdr:row>640</xdr:row>
                <xdr:rowOff>9525</xdr:rowOff>
              </to>
            </anchor>
          </objectPr>
        </oleObject>
      </mc:Choice>
      <mc:Fallback>
        <oleObject progId="Equation.DSMT4" shapeId="2153" r:id="rId103"/>
      </mc:Fallback>
    </mc:AlternateContent>
    <mc:AlternateContent xmlns:mc="http://schemas.openxmlformats.org/markup-compatibility/2006">
      <mc:Choice Requires="x14">
        <oleObject progId="Equation.DSMT4" shapeId="2154" r:id="rId104">
          <objectPr defaultSize="0" autoPict="0" r:id="rId73">
            <anchor moveWithCells="1" sizeWithCells="1">
              <from>
                <xdr:col>2</xdr:col>
                <xdr:colOff>247650</xdr:colOff>
                <xdr:row>642</xdr:row>
                <xdr:rowOff>85725</xdr:rowOff>
              </from>
              <to>
                <xdr:col>4</xdr:col>
                <xdr:colOff>533400</xdr:colOff>
                <xdr:row>645</xdr:row>
                <xdr:rowOff>133350</xdr:rowOff>
              </to>
            </anchor>
          </objectPr>
        </oleObject>
      </mc:Choice>
      <mc:Fallback>
        <oleObject progId="Equation.DSMT4" shapeId="2154" r:id="rId104"/>
      </mc:Fallback>
    </mc:AlternateContent>
    <mc:AlternateContent xmlns:mc="http://schemas.openxmlformats.org/markup-compatibility/2006">
      <mc:Choice Requires="x14">
        <oleObject progId="Equation.DSMT4" shapeId="2155" r:id="rId105">
          <objectPr defaultSize="0" autoPict="0" r:id="rId47">
            <anchor moveWithCells="1" sizeWithCells="1">
              <from>
                <xdr:col>3</xdr:col>
                <xdr:colOff>457200</xdr:colOff>
                <xdr:row>648</xdr:row>
                <xdr:rowOff>142875</xdr:rowOff>
              </from>
              <to>
                <xdr:col>5</xdr:col>
                <xdr:colOff>28575</xdr:colOff>
                <xdr:row>652</xdr:row>
                <xdr:rowOff>19050</xdr:rowOff>
              </to>
            </anchor>
          </objectPr>
        </oleObject>
      </mc:Choice>
      <mc:Fallback>
        <oleObject progId="Equation.DSMT4" shapeId="2155" r:id="rId105"/>
      </mc:Fallback>
    </mc:AlternateContent>
    <mc:AlternateContent xmlns:mc="http://schemas.openxmlformats.org/markup-compatibility/2006">
      <mc:Choice Requires="x14">
        <oleObject progId="Equation.DSMT4" shapeId="2156" r:id="rId106">
          <objectPr defaultSize="0" autoPict="0" r:id="rId49">
            <anchor moveWithCells="1" sizeWithCells="1">
              <from>
                <xdr:col>3</xdr:col>
                <xdr:colOff>47625</xdr:colOff>
                <xdr:row>652</xdr:row>
                <xdr:rowOff>38100</xdr:rowOff>
              </from>
              <to>
                <xdr:col>5</xdr:col>
                <xdr:colOff>66675</xdr:colOff>
                <xdr:row>655</xdr:row>
                <xdr:rowOff>57150</xdr:rowOff>
              </to>
            </anchor>
          </objectPr>
        </oleObject>
      </mc:Choice>
      <mc:Fallback>
        <oleObject progId="Equation.DSMT4" shapeId="2156" r:id="rId106"/>
      </mc:Fallback>
    </mc:AlternateContent>
    <mc:AlternateContent xmlns:mc="http://schemas.openxmlformats.org/markup-compatibility/2006">
      <mc:Choice Requires="x14">
        <oleObject progId="Equation.DSMT4" shapeId="2157" r:id="rId107">
          <objectPr defaultSize="0" autoPict="0" r:id="rId10">
            <anchor moveWithCells="1" sizeWithCells="1">
              <from>
                <xdr:col>1</xdr:col>
                <xdr:colOff>914400</xdr:colOff>
                <xdr:row>692</xdr:row>
                <xdr:rowOff>85725</xdr:rowOff>
              </from>
              <to>
                <xdr:col>4</xdr:col>
                <xdr:colOff>361950</xdr:colOff>
                <xdr:row>696</xdr:row>
                <xdr:rowOff>85725</xdr:rowOff>
              </to>
            </anchor>
          </objectPr>
        </oleObject>
      </mc:Choice>
      <mc:Fallback>
        <oleObject progId="Equation.DSMT4" shapeId="2157" r:id="rId107"/>
      </mc:Fallback>
    </mc:AlternateContent>
    <mc:AlternateContent xmlns:mc="http://schemas.openxmlformats.org/markup-compatibility/2006">
      <mc:Choice Requires="x14">
        <oleObject progId="Equation.DSMT4" shapeId="2158" r:id="rId108">
          <objectPr defaultSize="0" autoPict="0" r:id="rId12">
            <anchor moveWithCells="1" sizeWithCells="1">
              <from>
                <xdr:col>1</xdr:col>
                <xdr:colOff>800100</xdr:colOff>
                <xdr:row>701</xdr:row>
                <xdr:rowOff>104775</xdr:rowOff>
              </from>
              <to>
                <xdr:col>3</xdr:col>
                <xdr:colOff>247650</xdr:colOff>
                <xdr:row>705</xdr:row>
                <xdr:rowOff>0</xdr:rowOff>
              </to>
            </anchor>
          </objectPr>
        </oleObject>
      </mc:Choice>
      <mc:Fallback>
        <oleObject progId="Equation.DSMT4" shapeId="2158" r:id="rId108"/>
      </mc:Fallback>
    </mc:AlternateContent>
    <mc:AlternateContent xmlns:mc="http://schemas.openxmlformats.org/markup-compatibility/2006">
      <mc:Choice Requires="x14">
        <oleObject progId="Equation.DSMT4" shapeId="2159" r:id="rId109">
          <objectPr defaultSize="0" autoPict="0" r:id="rId14">
            <anchor moveWithCells="1" sizeWithCells="1">
              <from>
                <xdr:col>2</xdr:col>
                <xdr:colOff>390525</xdr:colOff>
                <xdr:row>707</xdr:row>
                <xdr:rowOff>57150</xdr:rowOff>
              </from>
              <to>
                <xdr:col>3</xdr:col>
                <xdr:colOff>438150</xdr:colOff>
                <xdr:row>710</xdr:row>
                <xdr:rowOff>95250</xdr:rowOff>
              </to>
            </anchor>
          </objectPr>
        </oleObject>
      </mc:Choice>
      <mc:Fallback>
        <oleObject progId="Equation.DSMT4" shapeId="2159" r:id="rId109"/>
      </mc:Fallback>
    </mc:AlternateContent>
    <mc:AlternateContent xmlns:mc="http://schemas.openxmlformats.org/markup-compatibility/2006">
      <mc:Choice Requires="x14">
        <oleObject progId="Equation.DSMT4" shapeId="2160" r:id="rId110">
          <objectPr defaultSize="0" autoPict="0" r:id="rId80">
            <anchor moveWithCells="1" sizeWithCells="1">
              <from>
                <xdr:col>2</xdr:col>
                <xdr:colOff>95250</xdr:colOff>
                <xdr:row>711</xdr:row>
                <xdr:rowOff>9525</xdr:rowOff>
              </from>
              <to>
                <xdr:col>4</xdr:col>
                <xdr:colOff>171450</xdr:colOff>
                <xdr:row>714</xdr:row>
                <xdr:rowOff>85725</xdr:rowOff>
              </to>
            </anchor>
          </objectPr>
        </oleObject>
      </mc:Choice>
      <mc:Fallback>
        <oleObject progId="Equation.DSMT4" shapeId="2160" r:id="rId110"/>
      </mc:Fallback>
    </mc:AlternateContent>
    <mc:AlternateContent xmlns:mc="http://schemas.openxmlformats.org/markup-compatibility/2006">
      <mc:Choice Requires="x14">
        <oleObject progId="Equation.DSMT4" shapeId="2161" r:id="rId111">
          <objectPr defaultSize="0" autoPict="0" r:id="rId18">
            <anchor moveWithCells="1" sizeWithCells="1">
              <from>
                <xdr:col>1</xdr:col>
                <xdr:colOff>895350</xdr:colOff>
                <xdr:row>718</xdr:row>
                <xdr:rowOff>28575</xdr:rowOff>
              </from>
              <to>
                <xdr:col>3</xdr:col>
                <xdr:colOff>238125</xdr:colOff>
                <xdr:row>721</xdr:row>
                <xdr:rowOff>133350</xdr:rowOff>
              </to>
            </anchor>
          </objectPr>
        </oleObject>
      </mc:Choice>
      <mc:Fallback>
        <oleObject progId="Equation.DSMT4" shapeId="2161" r:id="rId111"/>
      </mc:Fallback>
    </mc:AlternateContent>
    <mc:AlternateContent xmlns:mc="http://schemas.openxmlformats.org/markup-compatibility/2006">
      <mc:Choice Requires="x14">
        <oleObject progId="Equation.DSMT4" shapeId="2162" r:id="rId112">
          <objectPr defaultSize="0" autoPict="0" r:id="rId22">
            <anchor moveWithCells="1" sizeWithCells="1">
              <from>
                <xdr:col>1</xdr:col>
                <xdr:colOff>1228725</xdr:colOff>
                <xdr:row>739</xdr:row>
                <xdr:rowOff>114300</xdr:rowOff>
              </from>
              <to>
                <xdr:col>4</xdr:col>
                <xdr:colOff>161925</xdr:colOff>
                <xdr:row>743</xdr:row>
                <xdr:rowOff>57150</xdr:rowOff>
              </to>
            </anchor>
          </objectPr>
        </oleObject>
      </mc:Choice>
      <mc:Fallback>
        <oleObject progId="Equation.DSMT4" shapeId="2162" r:id="rId112"/>
      </mc:Fallback>
    </mc:AlternateContent>
    <mc:AlternateContent xmlns:mc="http://schemas.openxmlformats.org/markup-compatibility/2006">
      <mc:Choice Requires="x14">
        <oleObject progId="Equation.DSMT4" shapeId="2163" r:id="rId113">
          <objectPr defaultSize="0" autoPict="0" r:id="rId63">
            <anchor moveWithCells="1">
              <from>
                <xdr:col>1</xdr:col>
                <xdr:colOff>666750</xdr:colOff>
                <xdr:row>727</xdr:row>
                <xdr:rowOff>28575</xdr:rowOff>
              </from>
              <to>
                <xdr:col>4</xdr:col>
                <xdr:colOff>542925</xdr:colOff>
                <xdr:row>730</xdr:row>
                <xdr:rowOff>47625</xdr:rowOff>
              </to>
            </anchor>
          </objectPr>
        </oleObject>
      </mc:Choice>
      <mc:Fallback>
        <oleObject progId="Equation.DSMT4" shapeId="2163" r:id="rId113"/>
      </mc:Fallback>
    </mc:AlternateContent>
    <mc:AlternateContent xmlns:mc="http://schemas.openxmlformats.org/markup-compatibility/2006">
      <mc:Choice Requires="x14">
        <oleObject progId="Equation.DSMT4" shapeId="2164" r:id="rId114">
          <objectPr defaultSize="0" autoPict="0" r:id="rId65">
            <anchor moveWithCells="1">
              <from>
                <xdr:col>1</xdr:col>
                <xdr:colOff>1009650</xdr:colOff>
                <xdr:row>724</xdr:row>
                <xdr:rowOff>142875</xdr:rowOff>
              </from>
              <to>
                <xdr:col>5</xdr:col>
                <xdr:colOff>19050</xdr:colOff>
                <xdr:row>727</xdr:row>
                <xdr:rowOff>47625</xdr:rowOff>
              </to>
            </anchor>
          </objectPr>
        </oleObject>
      </mc:Choice>
      <mc:Fallback>
        <oleObject progId="Equation.DSMT4" shapeId="2164" r:id="rId114"/>
      </mc:Fallback>
    </mc:AlternateContent>
    <mc:AlternateContent xmlns:mc="http://schemas.openxmlformats.org/markup-compatibility/2006">
      <mc:Choice Requires="x14">
        <oleObject progId="Equation.DSMT4" shapeId="2165" r:id="rId115">
          <objectPr defaultSize="0" autoPict="0" r:id="rId116">
            <anchor moveWithCells="1">
              <from>
                <xdr:col>2</xdr:col>
                <xdr:colOff>342900</xdr:colOff>
                <xdr:row>833</xdr:row>
                <xdr:rowOff>19050</xdr:rowOff>
              </from>
              <to>
                <xdr:col>5</xdr:col>
                <xdr:colOff>123825</xdr:colOff>
                <xdr:row>836</xdr:row>
                <xdr:rowOff>19050</xdr:rowOff>
              </to>
            </anchor>
          </objectPr>
        </oleObject>
      </mc:Choice>
      <mc:Fallback>
        <oleObject progId="Equation.DSMT4" shapeId="2165" r:id="rId115"/>
      </mc:Fallback>
    </mc:AlternateContent>
    <mc:AlternateContent xmlns:mc="http://schemas.openxmlformats.org/markup-compatibility/2006">
      <mc:Choice Requires="x14">
        <oleObject progId="Equation.DSMT4" shapeId="2166" r:id="rId117">
          <objectPr defaultSize="0" autoPict="0" r:id="rId118">
            <anchor moveWithCells="1">
              <from>
                <xdr:col>1</xdr:col>
                <xdr:colOff>1000125</xdr:colOff>
                <xdr:row>879</xdr:row>
                <xdr:rowOff>66675</xdr:rowOff>
              </from>
              <to>
                <xdr:col>5</xdr:col>
                <xdr:colOff>266700</xdr:colOff>
                <xdr:row>881</xdr:row>
                <xdr:rowOff>19050</xdr:rowOff>
              </to>
            </anchor>
          </objectPr>
        </oleObject>
      </mc:Choice>
      <mc:Fallback>
        <oleObject progId="Equation.DSMT4" shapeId="2166" r:id="rId117"/>
      </mc:Fallback>
    </mc:AlternateContent>
    <mc:AlternateContent xmlns:mc="http://schemas.openxmlformats.org/markup-compatibility/2006">
      <mc:Choice Requires="x14">
        <oleObject progId="Equation.DSMT4" shapeId="2167" r:id="rId119">
          <objectPr defaultSize="0" autoPict="0" r:id="rId32">
            <anchor moveWithCells="1">
              <from>
                <xdr:col>2</xdr:col>
                <xdr:colOff>104775</xdr:colOff>
                <xdr:row>889</xdr:row>
                <xdr:rowOff>142875</xdr:rowOff>
              </from>
              <to>
                <xdr:col>4</xdr:col>
                <xdr:colOff>476250</xdr:colOff>
                <xdr:row>893</xdr:row>
                <xdr:rowOff>9525</xdr:rowOff>
              </to>
            </anchor>
          </objectPr>
        </oleObject>
      </mc:Choice>
      <mc:Fallback>
        <oleObject progId="Equation.DSMT4" shapeId="2167" r:id="rId119"/>
      </mc:Fallback>
    </mc:AlternateContent>
    <mc:AlternateContent xmlns:mc="http://schemas.openxmlformats.org/markup-compatibility/2006">
      <mc:Choice Requires="x14">
        <oleObject progId="Equation.DSMT4" shapeId="2169" r:id="rId120">
          <objectPr defaultSize="0" autoPict="0" r:id="rId22">
            <anchor moveWithCells="1">
              <from>
                <xdr:col>2</xdr:col>
                <xdr:colOff>209550</xdr:colOff>
                <xdr:row>463</xdr:row>
                <xdr:rowOff>142875</xdr:rowOff>
              </from>
              <to>
                <xdr:col>4</xdr:col>
                <xdr:colOff>561975</xdr:colOff>
                <xdr:row>467</xdr:row>
                <xdr:rowOff>57150</xdr:rowOff>
              </to>
            </anchor>
          </objectPr>
        </oleObject>
      </mc:Choice>
      <mc:Fallback>
        <oleObject progId="Equation.DSMT4" shapeId="2169" r:id="rId120"/>
      </mc:Fallback>
    </mc:AlternateContent>
    <mc:AlternateContent xmlns:mc="http://schemas.openxmlformats.org/markup-compatibility/2006">
      <mc:Choice Requires="x14">
        <oleObject progId="Equation.DSMT4" shapeId="2170" r:id="rId121">
          <objectPr defaultSize="0" autoPict="0" r:id="rId24">
            <anchor moveWithCells="1">
              <from>
                <xdr:col>3</xdr:col>
                <xdr:colOff>333375</xdr:colOff>
                <xdr:row>469</xdr:row>
                <xdr:rowOff>9525</xdr:rowOff>
              </from>
              <to>
                <xdr:col>5</xdr:col>
                <xdr:colOff>114300</xdr:colOff>
                <xdr:row>471</xdr:row>
                <xdr:rowOff>152400</xdr:rowOff>
              </to>
            </anchor>
          </objectPr>
        </oleObject>
      </mc:Choice>
      <mc:Fallback>
        <oleObject progId="Equation.DSMT4" shapeId="2170" r:id="rId121"/>
      </mc:Fallback>
    </mc:AlternateContent>
    <mc:AlternateContent xmlns:mc="http://schemas.openxmlformats.org/markup-compatibility/2006">
      <mc:Choice Requires="x14">
        <oleObject progId="Equation.DSMT4" shapeId="2171" r:id="rId122">
          <objectPr defaultSize="0" autoPict="0" r:id="rId26">
            <anchor moveWithCells="1">
              <from>
                <xdr:col>4</xdr:col>
                <xdr:colOff>476250</xdr:colOff>
                <xdr:row>478</xdr:row>
                <xdr:rowOff>57150</xdr:rowOff>
              </from>
              <to>
                <xdr:col>6</xdr:col>
                <xdr:colOff>47625</xdr:colOff>
                <xdr:row>479</xdr:row>
                <xdr:rowOff>142875</xdr:rowOff>
              </to>
            </anchor>
          </objectPr>
        </oleObject>
      </mc:Choice>
      <mc:Fallback>
        <oleObject progId="Equation.DSMT4" shapeId="2171" r:id="rId122"/>
      </mc:Fallback>
    </mc:AlternateContent>
    <mc:AlternateContent xmlns:mc="http://schemas.openxmlformats.org/markup-compatibility/2006">
      <mc:Choice Requires="x14">
        <oleObject progId="Equation.DSMT4" shapeId="2172" r:id="rId123">
          <objectPr defaultSize="0" autoPict="0" r:id="rId22">
            <anchor moveWithCells="1">
              <from>
                <xdr:col>2</xdr:col>
                <xdr:colOff>209550</xdr:colOff>
                <xdr:row>613</xdr:row>
                <xdr:rowOff>142875</xdr:rowOff>
              </from>
              <to>
                <xdr:col>4</xdr:col>
                <xdr:colOff>561975</xdr:colOff>
                <xdr:row>617</xdr:row>
                <xdr:rowOff>57150</xdr:rowOff>
              </to>
            </anchor>
          </objectPr>
        </oleObject>
      </mc:Choice>
      <mc:Fallback>
        <oleObject progId="Equation.DSMT4" shapeId="2172" r:id="rId123"/>
      </mc:Fallback>
    </mc:AlternateContent>
    <mc:AlternateContent xmlns:mc="http://schemas.openxmlformats.org/markup-compatibility/2006">
      <mc:Choice Requires="x14">
        <oleObject progId="Equation.DSMT4" shapeId="2173" r:id="rId124">
          <objectPr defaultSize="0" autoPict="0" r:id="rId24">
            <anchor moveWithCells="1">
              <from>
                <xdr:col>3</xdr:col>
                <xdr:colOff>333375</xdr:colOff>
                <xdr:row>619</xdr:row>
                <xdr:rowOff>9525</xdr:rowOff>
              </from>
              <to>
                <xdr:col>5</xdr:col>
                <xdr:colOff>114300</xdr:colOff>
                <xdr:row>621</xdr:row>
                <xdr:rowOff>152400</xdr:rowOff>
              </to>
            </anchor>
          </objectPr>
        </oleObject>
      </mc:Choice>
      <mc:Fallback>
        <oleObject progId="Equation.DSMT4" shapeId="2173" r:id="rId124"/>
      </mc:Fallback>
    </mc:AlternateContent>
    <mc:AlternateContent xmlns:mc="http://schemas.openxmlformats.org/markup-compatibility/2006">
      <mc:Choice Requires="x14">
        <oleObject progId="Equation.DSMT4" shapeId="2174" r:id="rId125">
          <objectPr defaultSize="0" autoPict="0" r:id="rId26">
            <anchor moveWithCells="1">
              <from>
                <xdr:col>4</xdr:col>
                <xdr:colOff>476250</xdr:colOff>
                <xdr:row>624</xdr:row>
                <xdr:rowOff>57150</xdr:rowOff>
              </from>
              <to>
                <xdr:col>6</xdr:col>
                <xdr:colOff>47625</xdr:colOff>
                <xdr:row>625</xdr:row>
                <xdr:rowOff>142875</xdr:rowOff>
              </to>
            </anchor>
          </objectPr>
        </oleObject>
      </mc:Choice>
      <mc:Fallback>
        <oleObject progId="Equation.DSMT4" shapeId="2174" r:id="rId125"/>
      </mc:Fallback>
    </mc:AlternateContent>
    <mc:AlternateContent xmlns:mc="http://schemas.openxmlformats.org/markup-compatibility/2006">
      <mc:Choice Requires="x14">
        <oleObject progId="Equation.DSMT4" shapeId="2175" r:id="rId126">
          <objectPr defaultSize="0" autoPict="0" r:id="rId22">
            <anchor moveWithCells="1">
              <from>
                <xdr:col>2</xdr:col>
                <xdr:colOff>209550</xdr:colOff>
                <xdr:row>761</xdr:row>
                <xdr:rowOff>142875</xdr:rowOff>
              </from>
              <to>
                <xdr:col>4</xdr:col>
                <xdr:colOff>561975</xdr:colOff>
                <xdr:row>765</xdr:row>
                <xdr:rowOff>57150</xdr:rowOff>
              </to>
            </anchor>
          </objectPr>
        </oleObject>
      </mc:Choice>
      <mc:Fallback>
        <oleObject progId="Equation.DSMT4" shapeId="2175" r:id="rId126"/>
      </mc:Fallback>
    </mc:AlternateContent>
    <mc:AlternateContent xmlns:mc="http://schemas.openxmlformats.org/markup-compatibility/2006">
      <mc:Choice Requires="x14">
        <oleObject progId="Equation.DSMT4" shapeId="2176" r:id="rId127">
          <objectPr defaultSize="0" autoPict="0" r:id="rId24">
            <anchor moveWithCells="1">
              <from>
                <xdr:col>3</xdr:col>
                <xdr:colOff>333375</xdr:colOff>
                <xdr:row>767</xdr:row>
                <xdr:rowOff>9525</xdr:rowOff>
              </from>
              <to>
                <xdr:col>5</xdr:col>
                <xdr:colOff>114300</xdr:colOff>
                <xdr:row>769</xdr:row>
                <xdr:rowOff>152400</xdr:rowOff>
              </to>
            </anchor>
          </objectPr>
        </oleObject>
      </mc:Choice>
      <mc:Fallback>
        <oleObject progId="Equation.DSMT4" shapeId="2176" r:id="rId127"/>
      </mc:Fallback>
    </mc:AlternateContent>
    <mc:AlternateContent xmlns:mc="http://schemas.openxmlformats.org/markup-compatibility/2006">
      <mc:Choice Requires="x14">
        <oleObject progId="Equation.DSMT4" shapeId="2177" r:id="rId128">
          <objectPr defaultSize="0" autoPict="0" r:id="rId26">
            <anchor moveWithCells="1">
              <from>
                <xdr:col>4</xdr:col>
                <xdr:colOff>476250</xdr:colOff>
                <xdr:row>772</xdr:row>
                <xdr:rowOff>57150</xdr:rowOff>
              </from>
              <to>
                <xdr:col>6</xdr:col>
                <xdr:colOff>47625</xdr:colOff>
                <xdr:row>773</xdr:row>
                <xdr:rowOff>142875</xdr:rowOff>
              </to>
            </anchor>
          </objectPr>
        </oleObject>
      </mc:Choice>
      <mc:Fallback>
        <oleObject progId="Equation.DSMT4" shapeId="2177" r:id="rId128"/>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B1FE-6BE0-4600-B187-CD47E90A2A02}">
  <sheetPr codeName="Sheet2"/>
  <dimension ref="A1:S1092"/>
  <sheetViews>
    <sheetView showGridLines="0" topLeftCell="B229" zoomScaleNormal="100" zoomScaleSheetLayoutView="90" workbookViewId="0">
      <selection activeCell="H189" sqref="H189:L197"/>
    </sheetView>
  </sheetViews>
  <sheetFormatPr defaultColWidth="9.140625" defaultRowHeight="12.75" customHeight="1" zeroHeight="1" x14ac:dyDescent="0.2"/>
  <cols>
    <col min="1" max="1" width="8" style="1" hidden="1" customWidth="1"/>
    <col min="2" max="2" width="16.42578125" style="1" customWidth="1"/>
    <col min="3" max="3" width="9.42578125" style="1" customWidth="1"/>
    <col min="4" max="5" width="8.28515625" style="1" customWidth="1"/>
    <col min="6" max="6" width="8" style="1" customWidth="1"/>
    <col min="7" max="7" width="17.5703125" style="6" customWidth="1"/>
    <col min="8" max="8" width="8.7109375" style="1" customWidth="1"/>
    <col min="9" max="9" width="10.28515625" style="1" customWidth="1"/>
    <col min="10" max="11" width="9.140625" style="10" customWidth="1"/>
    <col min="12" max="12" width="13.28515625" style="10" customWidth="1"/>
    <col min="13" max="19" width="9.140625" style="10" customWidth="1"/>
    <col min="20" max="16384" width="9.140625" style="1"/>
  </cols>
  <sheetData>
    <row r="1" spans="1:9" ht="20.25" x14ac:dyDescent="0.2">
      <c r="A1" s="372"/>
      <c r="B1" s="372"/>
      <c r="C1" s="372"/>
      <c r="D1" s="372"/>
      <c r="E1" s="372"/>
      <c r="F1" s="372"/>
      <c r="G1" s="372"/>
      <c r="H1" s="372"/>
      <c r="I1" s="372"/>
    </row>
    <row r="2" spans="1:9" x14ac:dyDescent="0.2">
      <c r="H2" s="1" t="s">
        <v>330</v>
      </c>
    </row>
    <row r="3" spans="1:9" ht="12.75" customHeight="1" x14ac:dyDescent="0.2">
      <c r="B3" s="86"/>
      <c r="C3" s="86"/>
      <c r="D3" s="86"/>
      <c r="E3" s="86"/>
      <c r="F3" s="86"/>
      <c r="G3" s="86"/>
      <c r="H3" s="86"/>
    </row>
    <row r="4" spans="1:9" ht="10.5" customHeight="1" x14ac:dyDescent="0.2">
      <c r="B4" s="86"/>
      <c r="C4" s="86"/>
      <c r="D4" s="86"/>
      <c r="E4" s="86"/>
      <c r="F4" s="86"/>
      <c r="G4" s="86"/>
      <c r="H4" s="86"/>
    </row>
    <row r="5" spans="1:9" ht="15.75" customHeight="1" x14ac:dyDescent="0.3">
      <c r="C5" s="82" t="s">
        <v>252</v>
      </c>
      <c r="D5" s="373" t="e">
        <f>IF(Input!#REF!="","",Input!#REF!)</f>
        <v>#REF!</v>
      </c>
      <c r="E5" s="373"/>
      <c r="F5" s="373"/>
      <c r="G5" s="373"/>
      <c r="H5" s="81"/>
    </row>
    <row r="6" spans="1:9" ht="12.75" customHeight="1" x14ac:dyDescent="0.2">
      <c r="B6" s="86"/>
      <c r="C6" s="86"/>
      <c r="D6" s="86"/>
      <c r="E6" s="86"/>
      <c r="F6" s="86"/>
      <c r="G6" s="86"/>
      <c r="H6" s="86"/>
    </row>
    <row r="7" spans="1:9" ht="16.5" customHeight="1" x14ac:dyDescent="0.3">
      <c r="C7" s="82" t="s">
        <v>253</v>
      </c>
      <c r="D7" s="373" t="e">
        <f>IF(Input!#REF!="","",Input!#REF!)</f>
        <v>#REF!</v>
      </c>
      <c r="E7" s="373"/>
      <c r="F7" s="373"/>
      <c r="G7" s="373"/>
      <c r="H7" s="81"/>
    </row>
    <row r="8" spans="1:9" ht="12.75" customHeight="1" x14ac:dyDescent="0.2">
      <c r="E8" s="86"/>
      <c r="F8" s="86"/>
      <c r="G8" s="86"/>
      <c r="H8" s="86"/>
    </row>
    <row r="9" spans="1:9" ht="16.5" customHeight="1" x14ac:dyDescent="0.3">
      <c r="C9" s="82" t="s">
        <v>426</v>
      </c>
      <c r="D9" s="373" t="e">
        <f>IF(Input!#REF!="","",Input!#REF!)</f>
        <v>#REF!</v>
      </c>
      <c r="E9" s="373"/>
      <c r="F9" s="373"/>
      <c r="G9" s="373"/>
      <c r="H9" s="81"/>
    </row>
    <row r="10" spans="1:9" ht="12.75" customHeight="1" x14ac:dyDescent="0.2">
      <c r="E10" s="86"/>
      <c r="F10" s="86"/>
      <c r="G10" s="86"/>
      <c r="H10" s="86"/>
    </row>
    <row r="11" spans="1:9" ht="12.75" customHeight="1" x14ac:dyDescent="0.2">
      <c r="B11" s="86"/>
      <c r="C11" s="86"/>
      <c r="D11" s="86"/>
      <c r="E11" s="86"/>
      <c r="F11" s="86"/>
      <c r="G11" s="86"/>
      <c r="H11" s="86"/>
    </row>
    <row r="12" spans="1:9" ht="12.75" customHeight="1" x14ac:dyDescent="0.2">
      <c r="B12" s="86"/>
      <c r="C12" s="86"/>
      <c r="D12" s="86"/>
      <c r="E12" s="86"/>
      <c r="F12" s="86"/>
      <c r="G12" s="86"/>
      <c r="H12" s="86"/>
    </row>
    <row r="13" spans="1:9" ht="12.75" customHeight="1" x14ac:dyDescent="0.2">
      <c r="B13" s="86"/>
      <c r="C13" s="86"/>
      <c r="D13" s="86"/>
      <c r="E13" s="86"/>
      <c r="F13" s="86"/>
      <c r="G13" s="86"/>
      <c r="H13" s="86"/>
    </row>
    <row r="14" spans="1:9" ht="12.75" customHeight="1" x14ac:dyDescent="0.2">
      <c r="B14" s="86"/>
      <c r="C14" s="86"/>
      <c r="D14" s="86"/>
      <c r="E14" s="86"/>
      <c r="F14" s="86"/>
      <c r="G14" s="86"/>
      <c r="H14" s="86"/>
    </row>
    <row r="15" spans="1:9" ht="12.75" customHeight="1" x14ac:dyDescent="0.2">
      <c r="B15" s="86"/>
      <c r="C15" s="86"/>
      <c r="D15" s="86"/>
      <c r="E15" s="86"/>
      <c r="F15" s="86"/>
      <c r="G15" s="86"/>
      <c r="H15" s="86"/>
    </row>
    <row r="16" spans="1:9" ht="12.75" customHeight="1" x14ac:dyDescent="0.2">
      <c r="B16" s="86"/>
      <c r="C16" s="86"/>
      <c r="D16" s="86"/>
      <c r="E16" s="86"/>
      <c r="F16" s="86"/>
      <c r="G16" s="86"/>
      <c r="H16" s="86"/>
    </row>
    <row r="17" spans="2:8" ht="12.75" customHeight="1" x14ac:dyDescent="0.2">
      <c r="B17" s="86"/>
      <c r="C17" s="86"/>
      <c r="D17" s="86"/>
      <c r="E17" s="86"/>
      <c r="F17" s="86"/>
      <c r="G17" s="86"/>
      <c r="H17" s="86"/>
    </row>
    <row r="18" spans="2:8" ht="12.75" customHeight="1" x14ac:dyDescent="0.2">
      <c r="B18" s="86"/>
      <c r="C18" s="86"/>
      <c r="D18" s="86"/>
      <c r="E18" s="86"/>
      <c r="F18" s="86"/>
      <c r="G18" s="86"/>
      <c r="H18" s="86"/>
    </row>
    <row r="19" spans="2:8" ht="12.75" customHeight="1" x14ac:dyDescent="0.2">
      <c r="B19" s="86"/>
      <c r="C19" s="86"/>
      <c r="D19" s="86"/>
      <c r="E19" s="86"/>
      <c r="F19" s="86"/>
      <c r="G19" s="86"/>
      <c r="H19" s="86"/>
    </row>
    <row r="20" spans="2:8" ht="12.75" customHeight="1" x14ac:dyDescent="0.2">
      <c r="B20" s="86"/>
      <c r="C20" s="86"/>
      <c r="D20" s="86"/>
      <c r="E20" s="86"/>
      <c r="F20" s="86"/>
      <c r="G20" s="86"/>
      <c r="H20" s="86"/>
    </row>
    <row r="21" spans="2:8" ht="12.75" customHeight="1" x14ac:dyDescent="0.2">
      <c r="B21" s="86"/>
      <c r="C21" s="86"/>
      <c r="D21" s="86"/>
      <c r="E21" s="86"/>
      <c r="F21" s="86"/>
      <c r="G21" s="86"/>
      <c r="H21" s="86"/>
    </row>
    <row r="22" spans="2:8" ht="12.75" customHeight="1" x14ac:dyDescent="0.2">
      <c r="B22" s="86"/>
      <c r="C22" s="86"/>
      <c r="D22" s="86"/>
      <c r="E22" s="86"/>
      <c r="F22" s="86"/>
      <c r="G22" s="86"/>
      <c r="H22" s="86"/>
    </row>
    <row r="23" spans="2:8" ht="12.75" customHeight="1" x14ac:dyDescent="0.2">
      <c r="B23" s="86"/>
      <c r="C23" s="86"/>
      <c r="D23" s="86"/>
      <c r="E23" s="86"/>
      <c r="F23" s="86"/>
      <c r="G23" s="86"/>
      <c r="H23" s="86"/>
    </row>
    <row r="24" spans="2:8" ht="12.75" customHeight="1" x14ac:dyDescent="0.2">
      <c r="B24" s="86"/>
      <c r="C24" s="86"/>
      <c r="D24" s="86"/>
      <c r="E24" s="86"/>
      <c r="F24" s="86"/>
      <c r="G24" s="86"/>
      <c r="H24" s="86"/>
    </row>
    <row r="25" spans="2:8" ht="12.75" customHeight="1" x14ac:dyDescent="0.2">
      <c r="B25" s="86"/>
      <c r="C25" s="86"/>
      <c r="D25" s="86"/>
      <c r="E25" s="86"/>
      <c r="F25" s="86"/>
      <c r="G25" s="86"/>
      <c r="H25" s="86"/>
    </row>
    <row r="26" spans="2:8" ht="12.75" customHeight="1" x14ac:dyDescent="0.2">
      <c r="B26" s="86"/>
      <c r="C26" s="86"/>
      <c r="D26" s="86"/>
      <c r="E26" s="86"/>
      <c r="F26" s="86"/>
      <c r="G26" s="86"/>
      <c r="H26" s="86"/>
    </row>
    <row r="27" spans="2:8" ht="12.75" customHeight="1" x14ac:dyDescent="0.2">
      <c r="B27" s="86"/>
      <c r="C27" s="86"/>
      <c r="D27" s="86"/>
      <c r="E27" s="86"/>
      <c r="F27" s="86"/>
      <c r="G27" s="86"/>
      <c r="H27" s="86"/>
    </row>
    <row r="28" spans="2:8" ht="12.75" customHeight="1" x14ac:dyDescent="0.2">
      <c r="B28" s="86"/>
      <c r="C28" s="86"/>
      <c r="D28" s="86"/>
      <c r="E28" s="86"/>
      <c r="F28" s="86"/>
      <c r="G28" s="86"/>
      <c r="H28" s="86"/>
    </row>
    <row r="29" spans="2:8" ht="12.75" customHeight="1" x14ac:dyDescent="0.2">
      <c r="B29" s="86"/>
      <c r="C29" s="86"/>
      <c r="D29" s="86"/>
      <c r="E29" s="86"/>
      <c r="F29" s="86"/>
      <c r="G29" s="86"/>
      <c r="H29" s="86"/>
    </row>
    <row r="30" spans="2:8" ht="12.75" customHeight="1" x14ac:dyDescent="0.2">
      <c r="B30" s="86"/>
      <c r="C30" s="86"/>
      <c r="D30" s="86"/>
      <c r="E30" s="86"/>
      <c r="F30" s="86"/>
      <c r="G30" s="86"/>
      <c r="H30" s="86"/>
    </row>
    <row r="31" spans="2:8" ht="12.75" customHeight="1" x14ac:dyDescent="0.2">
      <c r="B31" s="86"/>
      <c r="C31" s="86"/>
      <c r="D31" s="86"/>
      <c r="E31" s="86"/>
      <c r="F31" s="86"/>
      <c r="G31" s="86"/>
      <c r="H31" s="86"/>
    </row>
    <row r="32" spans="2:8" ht="12.75" customHeight="1" x14ac:dyDescent="0.2">
      <c r="B32" s="86"/>
      <c r="C32" s="86"/>
      <c r="D32" s="86"/>
      <c r="E32" s="86"/>
      <c r="F32" s="86"/>
      <c r="G32" s="86"/>
      <c r="H32" s="86"/>
    </row>
    <row r="33" spans="2:8" ht="12.75" customHeight="1" x14ac:dyDescent="0.2">
      <c r="B33" s="86"/>
      <c r="C33" s="86"/>
      <c r="D33" s="86"/>
      <c r="E33" s="86"/>
      <c r="F33" s="86"/>
      <c r="G33" s="86"/>
      <c r="H33" s="86"/>
    </row>
    <row r="34" spans="2:8" ht="12.75" customHeight="1" x14ac:dyDescent="0.2">
      <c r="B34" s="86"/>
      <c r="C34" s="86"/>
      <c r="D34" s="86"/>
      <c r="E34" s="86"/>
      <c r="F34" s="86"/>
      <c r="G34" s="86"/>
      <c r="H34" s="86"/>
    </row>
    <row r="35" spans="2:8" ht="12.75" customHeight="1" x14ac:dyDescent="0.2">
      <c r="B35" s="86"/>
      <c r="C35" s="86"/>
      <c r="D35" s="86"/>
      <c r="E35" s="86"/>
      <c r="F35" s="86"/>
      <c r="G35" s="86"/>
      <c r="H35" s="86"/>
    </row>
    <row r="36" spans="2:8" ht="12.75" customHeight="1" x14ac:dyDescent="0.2">
      <c r="B36" s="86"/>
      <c r="C36" s="86"/>
      <c r="D36" s="86"/>
      <c r="E36" s="86"/>
      <c r="F36" s="86"/>
      <c r="G36" s="86"/>
      <c r="H36" s="86"/>
    </row>
    <row r="37" spans="2:8" ht="12.75" customHeight="1" x14ac:dyDescent="0.2">
      <c r="B37" s="86"/>
      <c r="C37" s="86"/>
      <c r="D37" s="86"/>
      <c r="E37" s="86"/>
      <c r="F37" s="86"/>
      <c r="G37" s="86"/>
      <c r="H37" s="86"/>
    </row>
    <row r="38" spans="2:8" ht="12.75" customHeight="1" x14ac:dyDescent="0.2">
      <c r="B38" s="86"/>
      <c r="C38" s="86"/>
      <c r="D38" s="86"/>
      <c r="E38" s="86"/>
      <c r="F38" s="86"/>
      <c r="G38" s="86"/>
      <c r="H38" s="86"/>
    </row>
    <row r="39" spans="2:8" ht="12.75" customHeight="1" x14ac:dyDescent="0.2">
      <c r="B39" s="374" t="s">
        <v>250</v>
      </c>
      <c r="C39" s="374"/>
      <c r="D39" s="374"/>
      <c r="E39" s="374"/>
      <c r="F39" s="374"/>
      <c r="G39" s="374"/>
      <c r="H39" s="374"/>
    </row>
    <row r="40" spans="2:8" ht="12.75" customHeight="1" x14ac:dyDescent="0.2">
      <c r="B40" s="374"/>
      <c r="C40" s="374"/>
      <c r="D40" s="374"/>
      <c r="E40" s="374"/>
      <c r="F40" s="374"/>
      <c r="G40" s="374"/>
      <c r="H40" s="374"/>
    </row>
    <row r="41" spans="2:8" ht="12.75" customHeight="1" x14ac:dyDescent="0.2">
      <c r="B41" s="86"/>
      <c r="C41" s="86"/>
      <c r="D41" s="86"/>
      <c r="E41" s="86"/>
      <c r="F41" s="86"/>
      <c r="G41" s="86"/>
      <c r="H41" s="86"/>
    </row>
    <row r="42" spans="2:8" ht="12.75" customHeight="1" x14ac:dyDescent="0.2">
      <c r="B42" s="86"/>
      <c r="C42" s="86"/>
      <c r="D42" s="86"/>
      <c r="E42" s="86"/>
      <c r="F42" s="86"/>
      <c r="G42" s="86"/>
      <c r="H42" s="86"/>
    </row>
    <row r="43" spans="2:8" ht="12.75" customHeight="1" x14ac:dyDescent="0.2">
      <c r="B43" s="86"/>
      <c r="C43" s="86"/>
      <c r="D43" s="86"/>
      <c r="E43" s="86"/>
      <c r="F43" s="86"/>
      <c r="G43" s="86"/>
      <c r="H43" s="86"/>
    </row>
    <row r="44" spans="2:8" ht="12.75" customHeight="1" x14ac:dyDescent="0.2">
      <c r="B44" s="86"/>
      <c r="C44" s="86"/>
      <c r="D44" s="86"/>
      <c r="E44" s="86"/>
      <c r="F44" s="86"/>
      <c r="G44" s="86"/>
      <c r="H44" s="86"/>
    </row>
    <row r="45" spans="2:8" ht="12.75" customHeight="1" x14ac:dyDescent="0.2">
      <c r="B45" s="86"/>
      <c r="C45" s="86"/>
      <c r="D45" s="86"/>
      <c r="E45" s="86"/>
      <c r="F45" s="86"/>
      <c r="G45" s="86"/>
      <c r="H45" s="86"/>
    </row>
    <row r="46" spans="2:8" ht="9.75" customHeight="1" x14ac:dyDescent="0.2">
      <c r="B46" s="86"/>
      <c r="C46" s="86"/>
      <c r="D46" s="86"/>
      <c r="E46" s="86"/>
      <c r="F46" s="86"/>
      <c r="G46" s="86"/>
      <c r="H46" s="86"/>
    </row>
    <row r="47" spans="2:8" ht="17.25" customHeight="1" x14ac:dyDescent="0.3">
      <c r="B47" s="79" t="s">
        <v>254</v>
      </c>
      <c r="C47" s="371" t="e">
        <f>IF(Input!#REF!="","",Input!#REF!)</f>
        <v>#REF!</v>
      </c>
      <c r="D47" s="371"/>
      <c r="E47" s="371"/>
      <c r="F47" s="371"/>
      <c r="G47" s="371"/>
      <c r="H47" s="86"/>
    </row>
    <row r="48" spans="2:8" ht="10.5" customHeight="1" x14ac:dyDescent="0.2">
      <c r="B48" s="86"/>
      <c r="C48" s="86"/>
      <c r="D48" s="86"/>
      <c r="E48" s="86"/>
      <c r="F48" s="86"/>
      <c r="G48" s="86"/>
      <c r="H48" s="86"/>
    </row>
    <row r="49" spans="2:9" ht="18.75" customHeight="1" x14ac:dyDescent="0.3">
      <c r="B49" s="79" t="s">
        <v>255</v>
      </c>
      <c r="C49" s="376" t="e">
        <f>IF(Input!#REF!="","",Input!#REF!)</f>
        <v>#REF!</v>
      </c>
      <c r="D49" s="371"/>
      <c r="E49" s="371"/>
      <c r="F49" s="371"/>
      <c r="G49" s="371"/>
      <c r="H49" s="86"/>
    </row>
    <row r="50" spans="2:9" ht="12.75" customHeight="1" x14ac:dyDescent="0.3">
      <c r="B50" s="86"/>
      <c r="C50" s="371"/>
      <c r="D50" s="371"/>
      <c r="E50" s="371"/>
      <c r="F50" s="371"/>
      <c r="G50" s="371"/>
      <c r="H50" s="86"/>
    </row>
    <row r="51" spans="2:9" ht="18" customHeight="1" x14ac:dyDescent="0.3">
      <c r="B51" s="79" t="s">
        <v>256</v>
      </c>
      <c r="C51" s="371" t="e">
        <f>IF(Input!#REF!="","",Input!#REF!)</f>
        <v>#REF!</v>
      </c>
      <c r="D51" s="371"/>
      <c r="E51" s="371"/>
      <c r="F51" s="371"/>
      <c r="G51" s="371"/>
      <c r="H51" s="86"/>
    </row>
    <row r="52" spans="2:9" ht="15.75" x14ac:dyDescent="0.2">
      <c r="B52" s="86"/>
      <c r="C52" s="86"/>
      <c r="D52" s="86"/>
      <c r="E52" s="86"/>
      <c r="F52" s="86"/>
      <c r="G52" s="86"/>
      <c r="H52" s="86"/>
    </row>
    <row r="53" spans="2:9" ht="18.75" x14ac:dyDescent="0.3">
      <c r="B53" s="79" t="s">
        <v>280</v>
      </c>
      <c r="C53" s="371" t="e">
        <f>Input!#REF!</f>
        <v>#REF!</v>
      </c>
      <c r="D53" s="371"/>
      <c r="E53" s="371"/>
      <c r="F53" s="371"/>
      <c r="G53" s="371"/>
      <c r="H53" s="86"/>
    </row>
    <row r="54" spans="2:9" ht="12.75" customHeight="1" x14ac:dyDescent="0.2">
      <c r="B54" s="86"/>
      <c r="C54" s="86"/>
      <c r="D54" s="86"/>
      <c r="E54" s="86"/>
      <c r="F54" s="86"/>
      <c r="G54" s="86"/>
      <c r="H54" s="86"/>
    </row>
    <row r="55" spans="2:9" ht="12.75" customHeight="1" x14ac:dyDescent="0.2">
      <c r="B55" s="86"/>
      <c r="C55" s="86"/>
      <c r="D55" s="86"/>
      <c r="E55" s="86"/>
      <c r="F55" s="86"/>
      <c r="G55" s="86"/>
      <c r="H55" s="86"/>
    </row>
    <row r="56" spans="2:9" ht="12.75" customHeight="1" x14ac:dyDescent="0.2">
      <c r="B56" s="86"/>
      <c r="C56" s="86"/>
      <c r="D56" s="86"/>
      <c r="E56" s="86"/>
      <c r="F56" s="86"/>
      <c r="G56" s="86"/>
      <c r="H56" s="86"/>
    </row>
    <row r="57" spans="2:9" ht="12.75" customHeight="1" x14ac:dyDescent="0.2">
      <c r="B57" s="86"/>
      <c r="C57" s="86"/>
      <c r="D57" s="86"/>
      <c r="E57" s="86"/>
      <c r="F57" s="86"/>
      <c r="G57" s="86"/>
      <c r="H57" s="86"/>
    </row>
    <row r="58" spans="2:9" ht="12.75" customHeight="1" x14ac:dyDescent="0.2">
      <c r="B58" s="86"/>
      <c r="C58" s="86"/>
      <c r="D58" s="86"/>
      <c r="E58" s="86"/>
      <c r="F58" s="86"/>
      <c r="G58" s="86"/>
      <c r="H58" s="86"/>
    </row>
    <row r="59" spans="2:9" ht="12.75" customHeight="1" x14ac:dyDescent="0.2">
      <c r="B59" s="86"/>
      <c r="C59" s="86"/>
      <c r="D59" s="86"/>
      <c r="E59" s="86"/>
      <c r="F59" s="86"/>
      <c r="G59" s="86"/>
      <c r="H59" s="86"/>
    </row>
    <row r="60" spans="2:9" ht="12.75" customHeight="1" x14ac:dyDescent="0.2">
      <c r="B60" s="86"/>
      <c r="C60" s="86"/>
      <c r="D60" s="86"/>
      <c r="E60" s="86"/>
      <c r="F60" s="86"/>
      <c r="G60" s="86"/>
      <c r="H60" s="86"/>
    </row>
    <row r="61" spans="2:9" ht="12.75" customHeight="1" x14ac:dyDescent="0.2">
      <c r="B61" s="86"/>
      <c r="C61" s="86"/>
      <c r="D61" s="86"/>
      <c r="E61" s="86"/>
      <c r="F61" s="86"/>
      <c r="G61" s="86"/>
      <c r="H61" s="86"/>
    </row>
    <row r="62" spans="2:9" ht="12.75" customHeight="1" x14ac:dyDescent="0.2">
      <c r="B62" s="377" t="s">
        <v>293</v>
      </c>
      <c r="C62" s="377"/>
      <c r="D62" s="377"/>
      <c r="E62" s="377"/>
      <c r="F62" s="377"/>
      <c r="G62" s="377"/>
      <c r="H62" s="377"/>
      <c r="I62" s="377"/>
    </row>
    <row r="63" spans="2:9" ht="12.75" customHeight="1" x14ac:dyDescent="0.2">
      <c r="B63" s="377"/>
      <c r="C63" s="377"/>
      <c r="D63" s="377"/>
      <c r="E63" s="377"/>
      <c r="F63" s="377"/>
      <c r="G63" s="377"/>
      <c r="H63" s="377"/>
      <c r="I63" s="377"/>
    </row>
    <row r="64" spans="2:9" ht="12.75" customHeight="1" x14ac:dyDescent="0.2">
      <c r="B64" s="377"/>
      <c r="C64" s="377"/>
      <c r="D64" s="377"/>
      <c r="E64" s="377"/>
      <c r="F64" s="377"/>
      <c r="G64" s="377"/>
      <c r="H64" s="377"/>
      <c r="I64" s="377"/>
    </row>
    <row r="65" spans="1:9" ht="12.75" customHeight="1" x14ac:dyDescent="0.2">
      <c r="B65" s="377"/>
      <c r="C65" s="377"/>
      <c r="D65" s="377"/>
      <c r="E65" s="377"/>
      <c r="F65" s="377"/>
      <c r="G65" s="377"/>
      <c r="H65" s="377"/>
      <c r="I65" s="377"/>
    </row>
    <row r="66" spans="1:9" ht="12.75" customHeight="1" x14ac:dyDescent="0.2">
      <c r="B66" s="377"/>
      <c r="C66" s="377"/>
      <c r="D66" s="377"/>
      <c r="E66" s="377"/>
      <c r="F66" s="377"/>
      <c r="G66" s="377"/>
      <c r="H66" s="377"/>
      <c r="I66" s="377"/>
    </row>
    <row r="67" spans="1:9" ht="12.75" customHeight="1" x14ac:dyDescent="0.2">
      <c r="A67" s="80"/>
      <c r="B67" s="377"/>
      <c r="C67" s="377"/>
      <c r="D67" s="377"/>
      <c r="E67" s="377"/>
      <c r="F67" s="377"/>
      <c r="G67" s="377"/>
      <c r="H67" s="377"/>
      <c r="I67" s="377"/>
    </row>
    <row r="68" spans="1:9" ht="12.75" customHeight="1" x14ac:dyDescent="0.2">
      <c r="A68" s="80"/>
      <c r="B68" s="377"/>
      <c r="C68" s="377"/>
      <c r="D68" s="377"/>
      <c r="E68" s="377"/>
      <c r="F68" s="377"/>
      <c r="G68" s="377"/>
      <c r="H68" s="377"/>
      <c r="I68" s="377"/>
    </row>
    <row r="69" spans="1:9" ht="12.75" customHeight="1" x14ac:dyDescent="0.2">
      <c r="B69" s="377"/>
      <c r="C69" s="377"/>
      <c r="D69" s="377"/>
      <c r="E69" s="377"/>
      <c r="F69" s="377"/>
      <c r="G69" s="377"/>
      <c r="H69" s="377"/>
      <c r="I69" s="377"/>
    </row>
    <row r="70" spans="1:9" ht="12.75" customHeight="1" x14ac:dyDescent="0.2">
      <c r="B70" s="377"/>
      <c r="C70" s="377"/>
      <c r="D70" s="377"/>
      <c r="E70" s="377"/>
      <c r="F70" s="377"/>
      <c r="G70" s="377"/>
      <c r="H70" s="377"/>
      <c r="I70" s="377"/>
    </row>
    <row r="71" spans="1:9" ht="12.75" customHeight="1" x14ac:dyDescent="0.2">
      <c r="B71" s="377"/>
      <c r="C71" s="377"/>
      <c r="D71" s="377"/>
      <c r="E71" s="377"/>
      <c r="F71" s="377"/>
      <c r="G71" s="377"/>
      <c r="H71" s="377"/>
      <c r="I71" s="377"/>
    </row>
    <row r="72" spans="1:9" ht="12.75" customHeight="1" x14ac:dyDescent="0.2">
      <c r="B72" s="377"/>
      <c r="C72" s="377"/>
      <c r="D72" s="377"/>
      <c r="E72" s="377"/>
      <c r="F72" s="377"/>
      <c r="G72" s="377"/>
      <c r="H72" s="377"/>
      <c r="I72" s="377"/>
    </row>
    <row r="73" spans="1:9" ht="12.75" customHeight="1" x14ac:dyDescent="0.2">
      <c r="B73" s="378" t="s">
        <v>294</v>
      </c>
      <c r="C73" s="378"/>
      <c r="D73" s="378"/>
      <c r="E73" s="378"/>
      <c r="F73" s="378"/>
      <c r="G73" s="378"/>
      <c r="H73" s="378"/>
      <c r="I73" s="378"/>
    </row>
    <row r="74" spans="1:9" ht="12.75" customHeight="1" x14ac:dyDescent="0.2">
      <c r="B74" s="378"/>
      <c r="C74" s="378"/>
      <c r="D74" s="378"/>
      <c r="E74" s="378"/>
      <c r="F74" s="378"/>
      <c r="G74" s="378"/>
      <c r="H74" s="378"/>
      <c r="I74" s="378"/>
    </row>
    <row r="75" spans="1:9" ht="12.75" customHeight="1" x14ac:dyDescent="0.2">
      <c r="B75" s="378"/>
      <c r="C75" s="378"/>
      <c r="D75" s="378"/>
      <c r="E75" s="378"/>
      <c r="F75" s="378"/>
      <c r="G75" s="378"/>
      <c r="H75" s="378"/>
      <c r="I75" s="378"/>
    </row>
    <row r="76" spans="1:9" ht="12.75" customHeight="1" x14ac:dyDescent="0.2">
      <c r="B76" s="378"/>
      <c r="C76" s="378"/>
      <c r="D76" s="378"/>
      <c r="E76" s="378"/>
      <c r="F76" s="378"/>
      <c r="G76" s="378"/>
      <c r="H76" s="378"/>
      <c r="I76" s="378"/>
    </row>
    <row r="77" spans="1:9" ht="12.75" customHeight="1" x14ac:dyDescent="0.2">
      <c r="B77" s="378"/>
      <c r="C77" s="378"/>
      <c r="D77" s="378"/>
      <c r="E77" s="378"/>
      <c r="F77" s="378"/>
      <c r="G77" s="378"/>
      <c r="H77" s="378"/>
      <c r="I77" s="378"/>
    </row>
    <row r="78" spans="1:9" ht="12.75" customHeight="1" x14ac:dyDescent="0.2">
      <c r="B78" s="378"/>
      <c r="C78" s="378"/>
      <c r="D78" s="378"/>
      <c r="E78" s="378"/>
      <c r="F78" s="378"/>
      <c r="G78" s="378"/>
      <c r="H78" s="378"/>
      <c r="I78" s="378"/>
    </row>
    <row r="79" spans="1:9" ht="12.75" customHeight="1" x14ac:dyDescent="0.2">
      <c r="B79" s="68"/>
      <c r="C79" s="68"/>
      <c r="D79" s="68"/>
      <c r="E79" s="68"/>
      <c r="F79" s="68"/>
      <c r="G79" s="67"/>
      <c r="H79" s="68"/>
      <c r="I79" s="68"/>
    </row>
    <row r="80" spans="1:9" ht="12.75" customHeight="1" x14ac:dyDescent="0.2"/>
    <row r="81" spans="2:9" ht="12.75" customHeight="1" x14ac:dyDescent="0.2"/>
    <row r="82" spans="2:9" ht="12.75" customHeight="1" x14ac:dyDescent="0.2"/>
    <row r="83" spans="2:9" ht="12.75" customHeight="1" x14ac:dyDescent="0.2"/>
    <row r="84" spans="2:9" ht="12.75" customHeight="1" x14ac:dyDescent="0.2"/>
    <row r="85" spans="2:9" ht="12.75" customHeight="1" x14ac:dyDescent="0.2"/>
    <row r="86" spans="2:9" ht="12.75" customHeight="1" x14ac:dyDescent="0.2"/>
    <row r="87" spans="2:9" ht="12.75" customHeight="1" x14ac:dyDescent="0.2">
      <c r="B87" s="86"/>
      <c r="C87" s="86"/>
      <c r="D87" s="86"/>
      <c r="E87" s="86"/>
      <c r="F87" s="86"/>
      <c r="G87" s="86"/>
      <c r="H87" s="86"/>
    </row>
    <row r="88" spans="2:9" ht="12.75" customHeight="1" x14ac:dyDescent="0.2">
      <c r="B88" s="86"/>
      <c r="C88" s="86"/>
      <c r="D88" s="86"/>
      <c r="E88" s="86"/>
      <c r="F88" s="86"/>
      <c r="G88" s="86"/>
      <c r="H88" s="86"/>
    </row>
    <row r="89" spans="2:9" ht="12.75" customHeight="1" x14ac:dyDescent="0.2">
      <c r="B89" s="377" t="s">
        <v>260</v>
      </c>
      <c r="C89" s="377"/>
      <c r="D89" s="377"/>
      <c r="E89" s="377"/>
      <c r="F89" s="377"/>
      <c r="G89" s="377"/>
      <c r="H89" s="377"/>
      <c r="I89" s="377"/>
    </row>
    <row r="90" spans="2:9" ht="12.75" customHeight="1" x14ac:dyDescent="0.2">
      <c r="B90" s="377"/>
      <c r="C90" s="377"/>
      <c r="D90" s="377"/>
      <c r="E90" s="377"/>
      <c r="F90" s="377"/>
      <c r="G90" s="377"/>
      <c r="H90" s="377"/>
      <c r="I90" s="377"/>
    </row>
    <row r="91" spans="2:9" ht="12.75" customHeight="1" x14ac:dyDescent="0.2">
      <c r="B91" s="377"/>
      <c r="C91" s="377"/>
      <c r="D91" s="377"/>
      <c r="E91" s="377"/>
      <c r="F91" s="377"/>
      <c r="G91" s="377"/>
      <c r="H91" s="377"/>
      <c r="I91" s="377"/>
    </row>
    <row r="92" spans="2:9" ht="12.75" customHeight="1" x14ac:dyDescent="0.2">
      <c r="B92" s="377"/>
      <c r="C92" s="377"/>
      <c r="D92" s="377"/>
      <c r="E92" s="377"/>
      <c r="F92" s="377"/>
      <c r="G92" s="377"/>
      <c r="H92" s="377"/>
      <c r="I92" s="377"/>
    </row>
    <row r="93" spans="2:9" ht="12.75" customHeight="1" x14ac:dyDescent="0.2">
      <c r="B93" s="377"/>
      <c r="C93" s="377"/>
      <c r="D93" s="377"/>
      <c r="E93" s="377"/>
      <c r="F93" s="377"/>
      <c r="G93" s="377"/>
      <c r="H93" s="377"/>
      <c r="I93" s="377"/>
    </row>
    <row r="94" spans="2:9" ht="12.75" customHeight="1" x14ac:dyDescent="0.2">
      <c r="B94" s="377"/>
      <c r="C94" s="377"/>
      <c r="D94" s="377"/>
      <c r="E94" s="377"/>
      <c r="F94" s="377"/>
      <c r="G94" s="377"/>
      <c r="H94" s="377"/>
      <c r="I94" s="377"/>
    </row>
    <row r="95" spans="2:9" ht="12.75" customHeight="1" x14ac:dyDescent="0.2">
      <c r="B95" s="377"/>
      <c r="C95" s="377"/>
      <c r="D95" s="377"/>
      <c r="E95" s="377"/>
      <c r="F95" s="377"/>
      <c r="G95" s="377"/>
      <c r="H95" s="377"/>
      <c r="I95" s="377"/>
    </row>
    <row r="96" spans="2:9" ht="12.75" customHeight="1" x14ac:dyDescent="0.2">
      <c r="B96" s="377"/>
      <c r="C96" s="377"/>
      <c r="D96" s="377"/>
      <c r="E96" s="377"/>
      <c r="F96" s="377"/>
      <c r="G96" s="377"/>
      <c r="H96" s="377"/>
      <c r="I96" s="377"/>
    </row>
    <row r="97" spans="2:9" ht="12.75" customHeight="1" x14ac:dyDescent="0.2">
      <c r="B97" s="377"/>
      <c r="C97" s="377"/>
      <c r="D97" s="377"/>
      <c r="E97" s="377"/>
      <c r="F97" s="377"/>
      <c r="G97" s="377"/>
      <c r="H97" s="377"/>
      <c r="I97" s="377"/>
    </row>
    <row r="98" spans="2:9" ht="12.75" customHeight="1" x14ac:dyDescent="0.2">
      <c r="B98" s="377"/>
      <c r="C98" s="377"/>
      <c r="D98" s="377"/>
      <c r="E98" s="377"/>
      <c r="F98" s="377"/>
      <c r="G98" s="377"/>
      <c r="H98" s="377"/>
      <c r="I98" s="377"/>
    </row>
    <row r="99" spans="2:9" ht="12.75" customHeight="1" x14ac:dyDescent="0.2">
      <c r="B99" s="377"/>
      <c r="C99" s="377"/>
      <c r="D99" s="377"/>
      <c r="E99" s="377"/>
      <c r="F99" s="377"/>
      <c r="G99" s="377"/>
      <c r="H99" s="377"/>
      <c r="I99" s="377"/>
    </row>
    <row r="100" spans="2:9" ht="12.75" customHeight="1" x14ac:dyDescent="0.2">
      <c r="B100" s="86"/>
      <c r="C100" s="86"/>
    </row>
    <row r="101" spans="2:9" ht="12.75" customHeight="1" x14ac:dyDescent="0.2">
      <c r="B101" s="86"/>
      <c r="C101" s="86"/>
      <c r="D101" s="86"/>
      <c r="E101" s="86"/>
      <c r="F101" s="86"/>
      <c r="G101" s="86"/>
      <c r="H101" s="86"/>
    </row>
    <row r="102" spans="2:9" ht="12.75" customHeight="1" x14ac:dyDescent="0.2">
      <c r="B102" s="86"/>
      <c r="C102" s="86"/>
      <c r="D102" s="86"/>
      <c r="E102" s="86"/>
      <c r="F102" s="86"/>
      <c r="G102" s="86"/>
      <c r="H102" s="86"/>
    </row>
    <row r="103" spans="2:9" ht="12.75" customHeight="1" x14ac:dyDescent="0.2">
      <c r="B103" s="86"/>
      <c r="C103" s="86"/>
      <c r="D103" s="86"/>
      <c r="E103" s="86"/>
      <c r="F103" s="86"/>
      <c r="G103" s="86"/>
      <c r="H103" s="86"/>
    </row>
    <row r="104" spans="2:9" ht="24" customHeight="1" x14ac:dyDescent="0.2">
      <c r="B104" s="379" t="s">
        <v>439</v>
      </c>
      <c r="C104" s="380"/>
      <c r="D104" s="380"/>
      <c r="E104" s="380"/>
      <c r="F104" s="380"/>
      <c r="G104" s="380"/>
      <c r="H104" s="381"/>
    </row>
    <row r="105" spans="2:9" ht="12.75" customHeight="1" x14ac:dyDescent="0.2">
      <c r="B105" s="382" t="str">
        <f>Input!C28</f>
        <v xml:space="preserve">80mm-3-   30 20 30   </v>
      </c>
      <c r="C105" s="382"/>
      <c r="D105" s="382"/>
      <c r="F105" s="86" t="str">
        <f>COUNTIF(EJeff!C10:C20,"&gt;0")&amp;" strati"</f>
        <v>3 strati</v>
      </c>
      <c r="G105" s="86"/>
      <c r="H105" s="86"/>
    </row>
    <row r="106" spans="2:9" ht="12.75" customHeight="1" x14ac:dyDescent="0.2">
      <c r="D106" s="374" t="s">
        <v>406</v>
      </c>
      <c r="E106" s="374"/>
      <c r="F106" s="383">
        <f>MAX(J_Support[#Totals])</f>
        <v>8820000</v>
      </c>
      <c r="G106" s="383"/>
      <c r="H106" s="383"/>
    </row>
    <row r="107" spans="2:9" ht="12.75" customHeight="1" x14ac:dyDescent="0.2">
      <c r="D107" s="374" t="s">
        <v>407</v>
      </c>
      <c r="E107" s="374"/>
      <c r="F107" s="375">
        <f>MAX(A_Support[#Totals])</f>
        <v>12600</v>
      </c>
      <c r="G107" s="375"/>
      <c r="H107" s="375"/>
    </row>
    <row r="108" spans="2:9" ht="12.75" customHeight="1" x14ac:dyDescent="0.2">
      <c r="B108" s="86"/>
      <c r="C108" s="86"/>
      <c r="D108" s="86"/>
      <c r="E108" s="86"/>
      <c r="F108" s="86"/>
      <c r="G108" s="86"/>
      <c r="H108" s="86"/>
    </row>
    <row r="109" spans="2:9" ht="12.75" customHeight="1" x14ac:dyDescent="0.2">
      <c r="B109" s="86"/>
      <c r="C109" s="86"/>
      <c r="D109" s="86" t="s">
        <v>434</v>
      </c>
      <c r="E109" s="86"/>
      <c r="F109" s="86"/>
      <c r="G109" s="86"/>
      <c r="H109" s="86"/>
    </row>
    <row r="110" spans="2:9" ht="12.75" customHeight="1" x14ac:dyDescent="0.2">
      <c r="B110" s="86"/>
      <c r="C110" s="86"/>
      <c r="D110" s="86"/>
      <c r="E110" s="86"/>
      <c r="F110" s="86"/>
      <c r="G110" s="86"/>
      <c r="H110" s="86"/>
    </row>
    <row r="111" spans="2:9" ht="12.75" customHeight="1" x14ac:dyDescent="0.2">
      <c r="B111" s="86"/>
      <c r="C111" s="86"/>
      <c r="D111" s="86"/>
      <c r="E111" s="86"/>
      <c r="F111" s="86"/>
      <c r="G111" s="86"/>
      <c r="H111" s="86"/>
    </row>
    <row r="112" spans="2:9" ht="12.75" customHeight="1" x14ac:dyDescent="0.2">
      <c r="B112" s="86"/>
      <c r="C112" s="86"/>
      <c r="D112" s="86"/>
      <c r="E112" s="86"/>
      <c r="F112" s="86"/>
      <c r="G112" s="86"/>
      <c r="H112" s="86"/>
    </row>
    <row r="113" spans="2:9" ht="12.75" customHeight="1" x14ac:dyDescent="0.2">
      <c r="B113" s="86"/>
      <c r="C113" s="86"/>
      <c r="D113" s="86"/>
      <c r="E113" s="86"/>
      <c r="F113" s="86"/>
      <c r="G113" s="86"/>
      <c r="H113" s="86"/>
    </row>
    <row r="114" spans="2:9" ht="12.75" customHeight="1" x14ac:dyDescent="0.2">
      <c r="B114" s="86"/>
      <c r="C114" s="86"/>
      <c r="D114" s="86"/>
      <c r="E114" s="86"/>
      <c r="F114" s="86"/>
      <c r="G114" s="86"/>
      <c r="H114" s="86"/>
    </row>
    <row r="115" spans="2:9" ht="12.75" customHeight="1" x14ac:dyDescent="0.2">
      <c r="B115" s="86"/>
      <c r="C115" s="86"/>
      <c r="D115" s="86"/>
      <c r="E115" s="86"/>
      <c r="F115" s="86"/>
      <c r="G115" s="86"/>
      <c r="H115" s="86"/>
    </row>
    <row r="116" spans="2:9" ht="12.75" customHeight="1" x14ac:dyDescent="0.2">
      <c r="B116" s="86"/>
      <c r="C116" s="86"/>
      <c r="D116" s="86"/>
      <c r="E116" s="86"/>
      <c r="F116" s="86"/>
      <c r="G116" s="86"/>
      <c r="H116" s="86"/>
    </row>
    <row r="117" spans="2:9" ht="12.75" customHeight="1" x14ac:dyDescent="0.2">
      <c r="B117" s="86"/>
      <c r="C117" s="86"/>
      <c r="D117" s="86"/>
      <c r="E117" s="86"/>
      <c r="F117" s="86"/>
      <c r="G117" s="86"/>
      <c r="H117" s="86"/>
    </row>
    <row r="118" spans="2:9" ht="12.75" customHeight="1" x14ac:dyDescent="0.2">
      <c r="B118" s="86"/>
      <c r="C118" s="86"/>
      <c r="D118" s="86"/>
      <c r="E118" s="86"/>
      <c r="F118" s="86"/>
      <c r="G118" s="86"/>
      <c r="H118" s="86"/>
    </row>
    <row r="119" spans="2:9" ht="12.75" customHeight="1" x14ac:dyDescent="0.2">
      <c r="B119" s="86"/>
      <c r="C119" s="86"/>
      <c r="D119" s="86"/>
      <c r="E119" s="86"/>
      <c r="F119" s="86"/>
      <c r="G119" s="86"/>
      <c r="H119" s="86"/>
    </row>
    <row r="120" spans="2:9" x14ac:dyDescent="0.2"/>
    <row r="121" spans="2:9" ht="18.75" x14ac:dyDescent="0.2">
      <c r="B121" s="379" t="s">
        <v>5</v>
      </c>
      <c r="C121" s="380"/>
      <c r="D121" s="380"/>
      <c r="E121" s="380"/>
      <c r="F121" s="380"/>
      <c r="G121" s="380"/>
      <c r="H121" s="381"/>
      <c r="I121" s="2"/>
    </row>
    <row r="122" spans="2:9" ht="12.75" customHeight="1" x14ac:dyDescent="0.3">
      <c r="B122" s="3"/>
      <c r="C122" s="3"/>
      <c r="D122" s="3"/>
      <c r="E122" s="3"/>
      <c r="F122" s="3"/>
      <c r="G122" s="3"/>
      <c r="H122" s="3"/>
      <c r="I122" s="3"/>
    </row>
    <row r="123" spans="2:9" ht="18.75" x14ac:dyDescent="0.35">
      <c r="B123" s="1" t="s">
        <v>6</v>
      </c>
      <c r="F123" s="5" t="s">
        <v>238</v>
      </c>
      <c r="G123" s="46" t="s">
        <v>7</v>
      </c>
      <c r="H123" s="74">
        <f>Input!$E$14</f>
        <v>2.5</v>
      </c>
      <c r="I123" s="78" t="s">
        <v>8</v>
      </c>
    </row>
    <row r="124" spans="2:9" x14ac:dyDescent="0.2">
      <c r="I124" s="78"/>
    </row>
    <row r="125" spans="2:9" ht="18.75" x14ac:dyDescent="0.35">
      <c r="B125" s="1" t="s">
        <v>9</v>
      </c>
      <c r="F125" s="5" t="s">
        <v>10</v>
      </c>
      <c r="G125" s="46" t="s">
        <v>7</v>
      </c>
      <c r="H125" s="74">
        <f>Input!$E$15</f>
        <v>2</v>
      </c>
      <c r="I125" s="78" t="s">
        <v>8</v>
      </c>
    </row>
    <row r="126" spans="2:9" ht="18.75" x14ac:dyDescent="0.35">
      <c r="F126" s="5" t="s">
        <v>11</v>
      </c>
      <c r="G126" s="6" t="s">
        <v>7</v>
      </c>
      <c r="H126" s="75">
        <f>Input!$E$16</f>
        <v>0.3</v>
      </c>
      <c r="I126" s="78" t="s">
        <v>8</v>
      </c>
    </row>
    <row r="127" spans="2:9" x14ac:dyDescent="0.2">
      <c r="D127" s="7"/>
      <c r="H127" s="8"/>
      <c r="I127" s="78"/>
    </row>
    <row r="128" spans="2:9" ht="20.25" x14ac:dyDescent="0.3">
      <c r="B128" s="1" t="s">
        <v>12</v>
      </c>
      <c r="C128" s="3"/>
      <c r="D128" s="6" t="str">
        <f>LOOKUP(M139,Dati!$B$78:$B$82,Dati!$A$78:$A$82)</f>
        <v>Long term</v>
      </c>
      <c r="E128" s="3"/>
      <c r="F128" s="3"/>
      <c r="G128" s="3"/>
      <c r="H128" s="3"/>
      <c r="I128" s="3"/>
    </row>
    <row r="129" spans="2:15" ht="20.25" x14ac:dyDescent="0.3">
      <c r="B129" s="1" t="s">
        <v>13</v>
      </c>
      <c r="C129" s="3"/>
      <c r="D129" s="6">
        <f>Input!$I$15</f>
        <v>1</v>
      </c>
      <c r="E129" s="3"/>
      <c r="F129" s="3"/>
      <c r="G129" s="3"/>
      <c r="H129" s="3"/>
      <c r="I129" s="3"/>
    </row>
    <row r="130" spans="2:15" x14ac:dyDescent="0.2">
      <c r="B130" s="9"/>
      <c r="H130" s="6"/>
    </row>
    <row r="131" spans="2:15" x14ac:dyDescent="0.2"/>
    <row r="132" spans="2:15" ht="18.75" customHeight="1" x14ac:dyDescent="0.2">
      <c r="B132" s="379" t="s">
        <v>14</v>
      </c>
      <c r="C132" s="380"/>
      <c r="D132" s="380"/>
      <c r="E132" s="380"/>
      <c r="F132" s="380"/>
      <c r="G132" s="380"/>
      <c r="H132" s="381"/>
      <c r="I132" s="2"/>
    </row>
    <row r="133" spans="2:15" x14ac:dyDescent="0.2"/>
    <row r="134" spans="2:15" ht="15.75" x14ac:dyDescent="0.25">
      <c r="B134" s="1" t="s">
        <v>15</v>
      </c>
      <c r="D134" s="9"/>
      <c r="E134" s="9"/>
      <c r="F134" s="5" t="s">
        <v>16</v>
      </c>
      <c r="G134" s="6" t="s">
        <v>7</v>
      </c>
      <c r="H134" s="74">
        <f>Input!E30/1000</f>
        <v>0.8</v>
      </c>
      <c r="I134" s="6" t="s">
        <v>17</v>
      </c>
    </row>
    <row r="135" spans="2:15" x14ac:dyDescent="0.2"/>
    <row r="136" spans="2:15" ht="19.5" thickBot="1" x14ac:dyDescent="0.4">
      <c r="B136" s="1" t="s">
        <v>6</v>
      </c>
      <c r="C136" s="11"/>
      <c r="D136" s="11"/>
      <c r="E136" s="11"/>
      <c r="F136" s="4" t="s">
        <v>18</v>
      </c>
      <c r="G136" s="11" t="s">
        <v>7</v>
      </c>
      <c r="H136" s="12">
        <f>H123*H134</f>
        <v>2</v>
      </c>
    </row>
    <row r="137" spans="2:15" x14ac:dyDescent="0.2">
      <c r="G137" s="12"/>
      <c r="H137" s="6"/>
      <c r="L137" s="89" t="s">
        <v>19</v>
      </c>
      <c r="M137" s="90">
        <v>18</v>
      </c>
      <c r="N137" s="42"/>
      <c r="O137" s="42"/>
    </row>
    <row r="138" spans="2:15" ht="18.75" x14ac:dyDescent="0.35">
      <c r="B138" s="1" t="s">
        <v>20</v>
      </c>
      <c r="F138" s="5" t="s">
        <v>21</v>
      </c>
      <c r="G138" s="6" t="s">
        <v>7</v>
      </c>
      <c r="H138" s="12">
        <f>H125*H134</f>
        <v>1.6</v>
      </c>
      <c r="L138" s="91" t="s">
        <v>22</v>
      </c>
      <c r="M138" s="92">
        <v>1</v>
      </c>
      <c r="N138" s="42"/>
      <c r="O138" s="42" t="s">
        <v>23</v>
      </c>
    </row>
    <row r="139" spans="2:15" ht="13.5" thickBot="1" x14ac:dyDescent="0.25">
      <c r="L139" s="93" t="s">
        <v>24</v>
      </c>
      <c r="M139" s="94">
        <v>3</v>
      </c>
      <c r="N139" s="42"/>
      <c r="O139" s="42">
        <v>1</v>
      </c>
    </row>
    <row r="140" spans="2:15" x14ac:dyDescent="0.2"/>
    <row r="141" spans="2:15" ht="15.75" x14ac:dyDescent="0.2">
      <c r="B141" s="379" t="s">
        <v>25</v>
      </c>
      <c r="C141" s="380"/>
      <c r="D141" s="380"/>
      <c r="E141" s="380"/>
      <c r="F141" s="380"/>
      <c r="G141" s="380"/>
      <c r="H141" s="381"/>
      <c r="I141" s="2"/>
    </row>
    <row r="142" spans="2:15" ht="20.25" x14ac:dyDescent="0.3">
      <c r="B142" s="3"/>
      <c r="C142" s="3"/>
      <c r="D142" s="3"/>
      <c r="E142" s="3"/>
      <c r="F142" s="3"/>
      <c r="G142" s="3"/>
      <c r="H142" s="3"/>
      <c r="I142" s="3"/>
    </row>
    <row r="143" spans="2:15" ht="20.25" x14ac:dyDescent="0.3">
      <c r="B143" s="1" t="s">
        <v>26</v>
      </c>
      <c r="C143" s="3"/>
      <c r="D143" s="77" t="str">
        <f>Input!$C$22</f>
        <v>C24 - EN338:2016</v>
      </c>
      <c r="E143" s="3"/>
      <c r="F143" s="3"/>
      <c r="G143" s="3"/>
      <c r="H143" s="3"/>
      <c r="I143" s="3"/>
    </row>
    <row r="144" spans="2:15" ht="15.75" x14ac:dyDescent="0.25">
      <c r="B144" s="384"/>
      <c r="C144" s="384"/>
      <c r="D144" s="384"/>
      <c r="E144" s="384"/>
      <c r="F144" s="384"/>
      <c r="G144" s="384"/>
      <c r="H144" s="384"/>
      <c r="I144" s="384"/>
    </row>
    <row r="145" spans="2:9" x14ac:dyDescent="0.2">
      <c r="B145" s="385" t="s">
        <v>27</v>
      </c>
      <c r="C145" s="386"/>
      <c r="D145" s="386"/>
      <c r="E145" s="386"/>
      <c r="F145" s="386"/>
      <c r="G145" s="386"/>
      <c r="H145" s="386"/>
      <c r="I145" s="387"/>
    </row>
    <row r="146" spans="2:9" x14ac:dyDescent="0.2">
      <c r="B146" s="13"/>
      <c r="E146" s="13"/>
      <c r="F146" s="46"/>
      <c r="G146" s="46"/>
      <c r="H146" s="46"/>
      <c r="I146" s="46"/>
    </row>
    <row r="147" spans="2:9" x14ac:dyDescent="0.2">
      <c r="B147" s="388" t="s">
        <v>28</v>
      </c>
      <c r="C147" s="389"/>
      <c r="D147" s="390"/>
      <c r="E147" s="13"/>
      <c r="F147" s="388" t="s">
        <v>61</v>
      </c>
      <c r="G147" s="389"/>
      <c r="H147" s="389"/>
      <c r="I147" s="87"/>
    </row>
    <row r="148" spans="2:9" ht="18.75" x14ac:dyDescent="0.35">
      <c r="B148" s="14" t="s">
        <v>29</v>
      </c>
      <c r="C148" s="15" t="s">
        <v>30</v>
      </c>
      <c r="D148" s="16">
        <f>INDEX(TimberType[],MATCH(Input!$C$22,TimberType[Classe],0),MATCH(C148,TimberType[#Headers],0))</f>
        <v>24</v>
      </c>
      <c r="E148" s="17"/>
      <c r="F148" s="391" t="s">
        <v>31</v>
      </c>
      <c r="G148" s="391"/>
      <c r="H148" s="391" t="s">
        <v>32</v>
      </c>
      <c r="I148" s="391"/>
    </row>
    <row r="149" spans="2:9" ht="18.75" x14ac:dyDescent="0.35">
      <c r="B149" s="18" t="s">
        <v>33</v>
      </c>
      <c r="C149" s="19" t="s">
        <v>34</v>
      </c>
      <c r="D149" s="20">
        <f>INDEX(TimberType[],MATCH(Input!$C$22,TimberType[Classe],0),MATCH(C149,TimberType[#Headers],0))</f>
        <v>14.5</v>
      </c>
      <c r="E149" s="17"/>
      <c r="F149" s="19" t="s">
        <v>35</v>
      </c>
      <c r="G149" s="16">
        <f>D148*(I156)/$G$224</f>
        <v>13.439999999999998</v>
      </c>
      <c r="H149" s="19" t="s">
        <v>35</v>
      </c>
      <c r="I149" s="16">
        <f>D148*I157/$G$224</f>
        <v>11.52</v>
      </c>
    </row>
    <row r="150" spans="2:9" ht="18.75" x14ac:dyDescent="0.35">
      <c r="B150" s="18" t="s">
        <v>36</v>
      </c>
      <c r="C150" s="19" t="s">
        <v>37</v>
      </c>
      <c r="D150" s="20">
        <f>INDEX(TimberType[],MATCH(Input!$C$22,TimberType[Classe],0),MATCH(C150,TimberType[#Headers],0))</f>
        <v>0.4</v>
      </c>
      <c r="E150" s="17"/>
      <c r="F150" s="19" t="s">
        <v>38</v>
      </c>
      <c r="G150" s="20">
        <f>D149*I156/$G$224</f>
        <v>8.1199999999999992</v>
      </c>
      <c r="H150" s="19" t="s">
        <v>38</v>
      </c>
      <c r="I150" s="20">
        <f>D149*I157/$G$224</f>
        <v>6.9599999999999991</v>
      </c>
    </row>
    <row r="151" spans="2:9" ht="18.75" x14ac:dyDescent="0.35">
      <c r="B151" s="18" t="s">
        <v>39</v>
      </c>
      <c r="C151" s="19" t="s">
        <v>40</v>
      </c>
      <c r="D151" s="20">
        <f>INDEX(TimberType[],MATCH(Input!$C$22,TimberType[Classe],0),MATCH(C151,TimberType[#Headers],0))</f>
        <v>21</v>
      </c>
      <c r="E151" s="17"/>
      <c r="F151" s="19" t="s">
        <v>41</v>
      </c>
      <c r="G151" s="20">
        <f>D150*I156/$G$224</f>
        <v>0.22399999999999998</v>
      </c>
      <c r="H151" s="19" t="s">
        <v>41</v>
      </c>
      <c r="I151" s="20">
        <f>D150*I157/$G$224</f>
        <v>0.192</v>
      </c>
    </row>
    <row r="152" spans="2:9" ht="18.75" x14ac:dyDescent="0.35">
      <c r="B152" s="18" t="s">
        <v>42</v>
      </c>
      <c r="C152" s="19" t="s">
        <v>43</v>
      </c>
      <c r="D152" s="20">
        <f>INDEX(TimberType[],MATCH(Input!$C$22,TimberType[Classe],0),MATCH(C152,TimberType[#Headers],0))</f>
        <v>2.5</v>
      </c>
      <c r="E152" s="17"/>
      <c r="F152" s="19" t="s">
        <v>44</v>
      </c>
      <c r="G152" s="20">
        <f>D151*I156/$G$224</f>
        <v>11.76</v>
      </c>
      <c r="H152" s="19" t="s">
        <v>44</v>
      </c>
      <c r="I152" s="20">
        <f>D151*I157/$G$224</f>
        <v>10.08</v>
      </c>
    </row>
    <row r="153" spans="2:9" ht="18.75" x14ac:dyDescent="0.35">
      <c r="B153" s="21" t="s">
        <v>45</v>
      </c>
      <c r="C153" s="22" t="s">
        <v>46</v>
      </c>
      <c r="D153" s="23">
        <f>INDEX(TimberType[],MATCH(Input!$C$22,TimberType[Classe],0),MATCH(C153,TimberType[#Headers],0))</f>
        <v>4</v>
      </c>
      <c r="E153" s="17"/>
      <c r="F153" s="19" t="s">
        <v>47</v>
      </c>
      <c r="G153" s="20">
        <f>D152*I156/$G$224</f>
        <v>1.4</v>
      </c>
      <c r="H153" s="19" t="s">
        <v>47</v>
      </c>
      <c r="I153" s="20">
        <f>D152*I157/$G$224</f>
        <v>1.2</v>
      </c>
    </row>
    <row r="154" spans="2:9" ht="18.75" x14ac:dyDescent="0.35">
      <c r="B154" s="392" t="s">
        <v>286</v>
      </c>
      <c r="C154" s="393"/>
      <c r="D154" s="394"/>
      <c r="E154" s="24"/>
      <c r="F154" s="19" t="s">
        <v>48</v>
      </c>
      <c r="G154" s="23">
        <f>D153*I156/$G$224*I158</f>
        <v>1.5007999999999999</v>
      </c>
      <c r="H154" s="19" t="s">
        <v>48</v>
      </c>
      <c r="I154" s="23">
        <f>D153*I157/$G$224*I158</f>
        <v>1.2864</v>
      </c>
    </row>
    <row r="155" spans="2:9" ht="18.75" x14ac:dyDescent="0.35">
      <c r="B155" s="14" t="s">
        <v>49</v>
      </c>
      <c r="C155" s="25" t="s">
        <v>50</v>
      </c>
      <c r="D155" s="29">
        <f>INDEX(TimberType[],MATCH(Input!$C$22,TimberType[Classe],0),MATCH(C155,TimberType[#Headers],0))</f>
        <v>11000</v>
      </c>
      <c r="E155" s="26"/>
      <c r="F155" s="19" t="s">
        <v>334</v>
      </c>
      <c r="G155" s="23">
        <f>D161*I156/$G$224</f>
        <v>0.67199999999999993</v>
      </c>
      <c r="H155" s="19" t="s">
        <v>334</v>
      </c>
      <c r="I155" s="23">
        <f>D161*I157/$G$224</f>
        <v>0.57599999999999996</v>
      </c>
    </row>
    <row r="156" spans="2:9" ht="18.75" x14ac:dyDescent="0.35">
      <c r="B156" s="18" t="s">
        <v>51</v>
      </c>
      <c r="C156" s="28" t="s">
        <v>52</v>
      </c>
      <c r="D156" s="29">
        <f>INDEX(TimberType[],MATCH(Input!$C$22,TimberType[Classe],0),MATCH(C156,TimberType[#Headers],0))</f>
        <v>7400</v>
      </c>
      <c r="E156" s="26"/>
      <c r="F156" s="9"/>
      <c r="H156" s="5" t="s">
        <v>53</v>
      </c>
      <c r="I156" s="12">
        <f>INDEX(kmod[],MATCH(D129,kmod[CS],0),MATCH(D128,kmod[#Headers],0))</f>
        <v>0.7</v>
      </c>
    </row>
    <row r="157" spans="2:9" ht="18.75" x14ac:dyDescent="0.35">
      <c r="B157" s="21" t="s">
        <v>54</v>
      </c>
      <c r="C157" s="30" t="s">
        <v>743</v>
      </c>
      <c r="D157" s="29">
        <f>INDEX(TimberType[],MATCH(Input!$C$22,TimberType[Classe],0),MATCH(C157,TimberType[#Headers],0))</f>
        <v>690</v>
      </c>
      <c r="E157" s="26"/>
      <c r="F157" s="9"/>
      <c r="H157" s="5" t="s">
        <v>55</v>
      </c>
      <c r="I157" s="12">
        <f>INDEX(kmod[],MATCH(D129,kmod[CS],0),2)</f>
        <v>0.6</v>
      </c>
    </row>
    <row r="158" spans="2:9" ht="18.75" x14ac:dyDescent="0.35">
      <c r="B158" s="18" t="s">
        <v>56</v>
      </c>
      <c r="C158" s="28" t="s">
        <v>753</v>
      </c>
      <c r="D158" s="31">
        <f>INDEX(TimberType[],MATCH(Input!$C$22,TimberType[Classe],0),MATCH(C158,TimberType[#Headers],0))</f>
        <v>0</v>
      </c>
      <c r="E158" s="26"/>
      <c r="F158" s="26"/>
      <c r="G158" s="27"/>
      <c r="H158" s="1" t="s">
        <v>437</v>
      </c>
      <c r="I158" s="6">
        <v>0.67</v>
      </c>
    </row>
    <row r="159" spans="2:9" ht="14.25" x14ac:dyDescent="0.2">
      <c r="B159" s="392" t="s">
        <v>57</v>
      </c>
      <c r="C159" s="393"/>
      <c r="D159" s="394"/>
      <c r="E159" s="24"/>
      <c r="F159" s="24"/>
      <c r="G159" s="32"/>
      <c r="H159" s="17"/>
      <c r="I159" s="17"/>
    </row>
    <row r="160" spans="2:9" ht="18.75" x14ac:dyDescent="0.35">
      <c r="B160" s="18" t="s">
        <v>58</v>
      </c>
      <c r="C160" s="143" t="s">
        <v>59</v>
      </c>
      <c r="D160" s="31">
        <f>INDEX(TimberType[],MATCH(Input!$C$22,TimberType[Classe],0),MATCH(C160,TimberType[#Headers],0))</f>
        <v>350</v>
      </c>
      <c r="E160" s="26"/>
      <c r="F160" s="26"/>
      <c r="G160" s="27"/>
      <c r="H160" s="17"/>
      <c r="I160" s="17"/>
    </row>
    <row r="161" spans="2:18" ht="15.75" x14ac:dyDescent="0.25">
      <c r="B161" s="18" t="s">
        <v>410</v>
      </c>
      <c r="C161" s="33" t="s">
        <v>333</v>
      </c>
      <c r="D161" s="34">
        <f>Input!$E$31</f>
        <v>1.2</v>
      </c>
    </row>
    <row r="162" spans="2:18" x14ac:dyDescent="0.2"/>
    <row r="163" spans="2:18" x14ac:dyDescent="0.2"/>
    <row r="164" spans="2:18" ht="15.75" x14ac:dyDescent="0.2">
      <c r="B164" s="379" t="s">
        <v>60</v>
      </c>
      <c r="C164" s="380"/>
      <c r="D164" s="380"/>
      <c r="E164" s="380"/>
      <c r="F164" s="380"/>
      <c r="G164" s="380"/>
      <c r="H164" s="381"/>
      <c r="I164" s="2"/>
    </row>
    <row r="165" spans="2:18" ht="12" customHeight="1" x14ac:dyDescent="0.3">
      <c r="B165" s="3"/>
      <c r="C165" s="3"/>
      <c r="D165" s="3"/>
      <c r="E165" s="3"/>
      <c r="F165" s="3"/>
      <c r="G165" s="3"/>
      <c r="H165" s="3"/>
      <c r="I165" s="3"/>
    </row>
    <row r="166" spans="2:18" ht="12" customHeight="1" x14ac:dyDescent="0.3">
      <c r="B166" s="3"/>
      <c r="C166" s="3"/>
      <c r="D166" s="3"/>
      <c r="E166" s="3"/>
      <c r="F166" s="3"/>
      <c r="G166" s="3"/>
      <c r="H166" s="3"/>
      <c r="I166" s="3"/>
    </row>
    <row r="167" spans="2:18" ht="16.5" customHeight="1" x14ac:dyDescent="0.3">
      <c r="B167" s="1" t="s">
        <v>26</v>
      </c>
      <c r="C167" s="3"/>
      <c r="D167" s="77" t="str">
        <f>Input!$I$22</f>
        <v>GL24h - UNI EN14080:2013</v>
      </c>
      <c r="E167" s="3"/>
      <c r="F167" s="3"/>
      <c r="G167" s="3"/>
      <c r="H167" s="3"/>
      <c r="I167" s="3"/>
    </row>
    <row r="168" spans="2:18" ht="17.25" customHeight="1" x14ac:dyDescent="0.25">
      <c r="B168" s="384"/>
      <c r="C168" s="384"/>
      <c r="D168" s="384"/>
      <c r="E168" s="384"/>
      <c r="F168" s="384"/>
      <c r="G168" s="384"/>
      <c r="H168" s="384"/>
      <c r="I168" s="384"/>
    </row>
    <row r="169" spans="2:18" ht="15" customHeight="1" x14ac:dyDescent="0.2">
      <c r="B169" s="385" t="s">
        <v>27</v>
      </c>
      <c r="C169" s="386"/>
      <c r="D169" s="386"/>
      <c r="E169" s="386"/>
      <c r="F169" s="386"/>
      <c r="G169" s="386"/>
      <c r="H169" s="386"/>
      <c r="I169" s="387"/>
    </row>
    <row r="170" spans="2:18" ht="20.25" customHeight="1" x14ac:dyDescent="0.2">
      <c r="B170" s="7"/>
      <c r="C170" s="7"/>
      <c r="D170" s="7"/>
      <c r="E170" s="7"/>
      <c r="F170" s="7"/>
      <c r="G170" s="7"/>
      <c r="H170" s="7"/>
      <c r="I170" s="7"/>
    </row>
    <row r="171" spans="2:18" x14ac:dyDescent="0.2">
      <c r="B171" s="388" t="s">
        <v>28</v>
      </c>
      <c r="C171" s="389"/>
      <c r="D171" s="390"/>
      <c r="E171" s="13"/>
      <c r="F171" s="388" t="s">
        <v>61</v>
      </c>
      <c r="G171" s="389"/>
      <c r="H171" s="389"/>
      <c r="I171" s="390"/>
    </row>
    <row r="172" spans="2:18" ht="18.75" x14ac:dyDescent="0.35">
      <c r="B172" s="14" t="s">
        <v>29</v>
      </c>
      <c r="C172" s="15" t="s">
        <v>30</v>
      </c>
      <c r="D172" s="16">
        <f>INDEX(TimberType[],MATCH(Input!$I$22,TimberType[Classe],0),MATCH(C172,TimberType[#Headers],0))</f>
        <v>24</v>
      </c>
      <c r="F172" s="391" t="s">
        <v>31</v>
      </c>
      <c r="G172" s="391"/>
      <c r="H172" s="391" t="s">
        <v>32</v>
      </c>
      <c r="I172" s="391"/>
    </row>
    <row r="173" spans="2:18" ht="18.75" x14ac:dyDescent="0.35">
      <c r="B173" s="18" t="s">
        <v>33</v>
      </c>
      <c r="C173" s="19" t="s">
        <v>34</v>
      </c>
      <c r="D173" s="20">
        <f>INDEX(TimberType[],MATCH(Input!$I$22,TimberType[Classe],0),MATCH(C173,TimberType[#Headers],0))</f>
        <v>19.2</v>
      </c>
      <c r="F173" s="19" t="s">
        <v>35</v>
      </c>
      <c r="G173" s="35">
        <f>D172*I180/$G$225</f>
        <v>13.439999999999998</v>
      </c>
      <c r="H173" s="33" t="s">
        <v>35</v>
      </c>
      <c r="I173" s="35">
        <f>D172*I181/$G$224</f>
        <v>11.52</v>
      </c>
      <c r="L173" s="42"/>
      <c r="M173" s="42"/>
      <c r="N173" s="42"/>
      <c r="O173" s="42"/>
      <c r="P173" s="42"/>
      <c r="Q173" s="42"/>
      <c r="R173" s="42"/>
    </row>
    <row r="174" spans="2:18" ht="19.5" thickBot="1" x14ac:dyDescent="0.4">
      <c r="B174" s="18" t="s">
        <v>36</v>
      </c>
      <c r="C174" s="19" t="s">
        <v>37</v>
      </c>
      <c r="D174" s="20">
        <f>INDEX(TimberType[],MATCH(Input!$I$22,TimberType[Classe],0),MATCH(C174,TimberType[#Headers],0))</f>
        <v>0.5</v>
      </c>
      <c r="F174" s="19" t="s">
        <v>38</v>
      </c>
      <c r="G174" s="37">
        <f>D173*I180/$G$225</f>
        <v>10.751999999999999</v>
      </c>
      <c r="H174" s="33" t="s">
        <v>38</v>
      </c>
      <c r="I174" s="37">
        <f>D173*I181/$G$224</f>
        <v>9.2159999999999993</v>
      </c>
      <c r="L174" s="42"/>
      <c r="M174" s="42"/>
      <c r="N174" s="42"/>
      <c r="O174" s="42"/>
      <c r="P174" s="42"/>
      <c r="Q174" s="42"/>
      <c r="R174" s="42"/>
    </row>
    <row r="175" spans="2:18" ht="18.75" x14ac:dyDescent="0.35">
      <c r="B175" s="18" t="s">
        <v>39</v>
      </c>
      <c r="C175" s="19" t="s">
        <v>40</v>
      </c>
      <c r="D175" s="20">
        <f>INDEX(TimberType[],MATCH(Input!$I$22,TimberType[Classe],0),MATCH(C175,TimberType[#Headers],0))</f>
        <v>24</v>
      </c>
      <c r="F175" s="19" t="s">
        <v>41</v>
      </c>
      <c r="G175" s="37">
        <f>D174*I180/$G$225</f>
        <v>0.27999999999999997</v>
      </c>
      <c r="H175" s="33" t="s">
        <v>41</v>
      </c>
      <c r="I175" s="37">
        <f>D174*I181/$G$224</f>
        <v>0.24</v>
      </c>
      <c r="L175" s="89" t="s">
        <v>19</v>
      </c>
      <c r="M175" s="90">
        <v>3</v>
      </c>
      <c r="N175" s="42"/>
      <c r="O175" s="42"/>
      <c r="P175" s="42"/>
      <c r="Q175" s="42"/>
      <c r="R175" s="42"/>
    </row>
    <row r="176" spans="2:18" ht="18.75" x14ac:dyDescent="0.35">
      <c r="B176" s="18" t="s">
        <v>42</v>
      </c>
      <c r="C176" s="19" t="s">
        <v>43</v>
      </c>
      <c r="D176" s="20">
        <f>INDEX(TimberType[],MATCH(Input!$I$22,TimberType[Classe],0),MATCH(C176,TimberType[#Headers],0))</f>
        <v>2.5</v>
      </c>
      <c r="F176" s="19" t="s">
        <v>44</v>
      </c>
      <c r="G176" s="37">
        <f>D175*I180/$G$225</f>
        <v>13.439999999999998</v>
      </c>
      <c r="H176" s="33" t="s">
        <v>44</v>
      </c>
      <c r="I176" s="37">
        <f>D175*I181/$G$224</f>
        <v>11.52</v>
      </c>
      <c r="L176" s="91" t="s">
        <v>22</v>
      </c>
      <c r="M176" s="92">
        <f>M138</f>
        <v>1</v>
      </c>
      <c r="N176" s="42"/>
      <c r="O176" s="42" t="s">
        <v>23</v>
      </c>
      <c r="P176" s="42"/>
      <c r="Q176" s="42"/>
      <c r="R176" s="42"/>
    </row>
    <row r="177" spans="2:18" ht="19.5" thickBot="1" x14ac:dyDescent="0.4">
      <c r="B177" s="21" t="s">
        <v>45</v>
      </c>
      <c r="C177" s="22" t="s">
        <v>46</v>
      </c>
      <c r="D177" s="23">
        <f>INDEX(TimberType[],MATCH(Input!$I$22,TimberType[Classe],0),MATCH(C177,TimberType[#Headers],0))</f>
        <v>3.5</v>
      </c>
      <c r="F177" s="19" t="s">
        <v>47</v>
      </c>
      <c r="G177" s="37">
        <f>D176*I180/$G$225</f>
        <v>1.4</v>
      </c>
      <c r="H177" s="33" t="s">
        <v>47</v>
      </c>
      <c r="I177" s="37">
        <f>D176*I181/$G$224</f>
        <v>1.2</v>
      </c>
      <c r="L177" s="93" t="s">
        <v>24</v>
      </c>
      <c r="M177" s="94">
        <f>M139</f>
        <v>3</v>
      </c>
      <c r="N177" s="42"/>
      <c r="O177" s="42">
        <v>1</v>
      </c>
      <c r="P177" s="42"/>
      <c r="Q177" s="42"/>
      <c r="R177" s="42"/>
    </row>
    <row r="178" spans="2:18" ht="16.5" customHeight="1" x14ac:dyDescent="0.35">
      <c r="B178" s="392" t="s">
        <v>286</v>
      </c>
      <c r="C178" s="393"/>
      <c r="D178" s="394"/>
      <c r="E178" s="39"/>
      <c r="F178" s="19" t="s">
        <v>48</v>
      </c>
      <c r="G178" s="38">
        <f>D177*I180/$G$225*I182</f>
        <v>1.3131999999999999</v>
      </c>
      <c r="H178" s="33" t="s">
        <v>48</v>
      </c>
      <c r="I178" s="38">
        <f>D177*I181/$G$224*I182</f>
        <v>1.1256000000000002</v>
      </c>
      <c r="L178" s="42"/>
      <c r="M178" s="42"/>
      <c r="N178" s="42"/>
      <c r="O178" s="42"/>
      <c r="P178" s="42"/>
      <c r="Q178" s="42"/>
      <c r="R178" s="42"/>
    </row>
    <row r="179" spans="2:18" ht="18.75" x14ac:dyDescent="0.35">
      <c r="B179" s="14" t="s">
        <v>49</v>
      </c>
      <c r="C179" s="25" t="s">
        <v>50</v>
      </c>
      <c r="D179" s="29">
        <f>INDEX(TimberType[],MATCH(Input!$I$22,TimberType[Classe],0),MATCH(C179,TimberType[#Headers],0))</f>
        <v>11500</v>
      </c>
      <c r="E179" s="40"/>
      <c r="F179"/>
      <c r="G179"/>
      <c r="L179" s="42"/>
      <c r="M179" s="42"/>
      <c r="N179" s="42"/>
      <c r="O179" s="42"/>
      <c r="P179" s="42"/>
      <c r="Q179" s="42"/>
      <c r="R179" s="42"/>
    </row>
    <row r="180" spans="2:18" ht="18.75" x14ac:dyDescent="0.35">
      <c r="B180" s="18" t="s">
        <v>51</v>
      </c>
      <c r="C180" s="28" t="s">
        <v>52</v>
      </c>
      <c r="D180" s="29">
        <f>INDEX(TimberType[],MATCH(Input!$I$22,TimberType[Classe],0),MATCH(C180,TimberType[#Headers],0))</f>
        <v>9600</v>
      </c>
      <c r="E180" s="40"/>
      <c r="G180" s="1"/>
      <c r="H180" s="5" t="s">
        <v>53</v>
      </c>
      <c r="I180" s="12">
        <f>INDEX(kmod[],MATCH($D$129,kmod[CS],0),MATCH($D$128,kmod[#Headers],0))</f>
        <v>0.7</v>
      </c>
      <c r="L180" s="42"/>
      <c r="M180" s="42"/>
      <c r="N180" s="42"/>
      <c r="O180" s="42"/>
      <c r="P180" s="42"/>
      <c r="Q180" s="42"/>
      <c r="R180" s="42"/>
    </row>
    <row r="181" spans="2:18" ht="18.75" x14ac:dyDescent="0.35">
      <c r="B181" s="21" t="s">
        <v>54</v>
      </c>
      <c r="C181" s="30" t="s">
        <v>743</v>
      </c>
      <c r="D181" s="29">
        <f>INDEX(TimberType[],MATCH(Input!$I$22,TimberType[Classe],0),MATCH(C181,TimberType[#Headers],0))</f>
        <v>650</v>
      </c>
      <c r="E181" s="40"/>
      <c r="G181" s="1"/>
      <c r="H181" s="5" t="s">
        <v>55</v>
      </c>
      <c r="I181" s="12">
        <f>INDEX(kmod[],MATCH($D$129,kmod[CS],0),2)</f>
        <v>0.6</v>
      </c>
      <c r="L181" s="42"/>
      <c r="M181" s="42"/>
      <c r="N181" s="42"/>
      <c r="O181" s="42"/>
      <c r="P181" s="42"/>
      <c r="Q181" s="42"/>
      <c r="R181" s="42"/>
    </row>
    <row r="182" spans="2:18" ht="18.75" x14ac:dyDescent="0.35">
      <c r="B182" s="18" t="s">
        <v>56</v>
      </c>
      <c r="C182" s="28" t="s">
        <v>753</v>
      </c>
      <c r="D182" s="31">
        <f>INDEX(TimberType[],MATCH(Input!$I$22,TimberType[Classe],0),MATCH(C182,TimberType[#Headers],0))</f>
        <v>540</v>
      </c>
      <c r="E182" s="40"/>
      <c r="F182" s="40"/>
      <c r="G182" s="41"/>
      <c r="H182" s="1" t="s">
        <v>437</v>
      </c>
      <c r="I182" s="6">
        <v>0.67</v>
      </c>
      <c r="L182" s="42"/>
      <c r="M182" s="42"/>
      <c r="N182" s="42"/>
      <c r="O182" s="42"/>
      <c r="P182" s="42"/>
      <c r="Q182" s="42"/>
      <c r="R182" s="42"/>
    </row>
    <row r="183" spans="2:18" ht="14.25" x14ac:dyDescent="0.2">
      <c r="B183" s="392" t="s">
        <v>57</v>
      </c>
      <c r="C183" s="393"/>
      <c r="D183" s="394"/>
      <c r="E183" s="39"/>
      <c r="F183" s="39"/>
      <c r="G183" s="7"/>
      <c r="M183" s="42"/>
    </row>
    <row r="184" spans="2:18" ht="18.75" x14ac:dyDescent="0.35">
      <c r="B184" s="36" t="s">
        <v>58</v>
      </c>
      <c r="C184" s="33" t="s">
        <v>59</v>
      </c>
      <c r="D184" s="88">
        <f>INDEX(TimberType[],MATCH(Input!$I$22,TimberType[Classe],0),MATCH(C184,TimberType[#Headers],0))</f>
        <v>385</v>
      </c>
      <c r="E184" s="40"/>
      <c r="F184" s="40"/>
      <c r="G184" s="41"/>
      <c r="M184" s="42"/>
    </row>
    <row r="185" spans="2:18" ht="15.75" x14ac:dyDescent="0.25">
      <c r="B185" s="18" t="s">
        <v>410</v>
      </c>
      <c r="C185" s="33" t="s">
        <v>333</v>
      </c>
      <c r="D185" s="34">
        <f>Input!$E$31</f>
        <v>1.2</v>
      </c>
      <c r="M185" s="42"/>
    </row>
    <row r="186" spans="2:18" ht="15.75" x14ac:dyDescent="0.2">
      <c r="B186" s="379" t="s">
        <v>62</v>
      </c>
      <c r="C186" s="380"/>
      <c r="D186" s="380"/>
      <c r="E186" s="380"/>
      <c r="F186" s="380"/>
      <c r="G186" s="380"/>
      <c r="H186" s="381"/>
      <c r="I186" s="2"/>
    </row>
    <row r="187" spans="2:18" x14ac:dyDescent="0.2">
      <c r="F187" s="43"/>
    </row>
    <row r="188" spans="2:18" ht="18.75" x14ac:dyDescent="0.35">
      <c r="B188" s="1" t="s">
        <v>63</v>
      </c>
      <c r="D188" s="4" t="s">
        <v>64</v>
      </c>
      <c r="E188" s="6" t="s">
        <v>7</v>
      </c>
      <c r="G188" s="75">
        <f>Input!$E$29</f>
        <v>80</v>
      </c>
      <c r="H188" s="6" t="s">
        <v>65</v>
      </c>
    </row>
    <row r="189" spans="2:18" ht="18.75" x14ac:dyDescent="0.35">
      <c r="B189" s="1" t="s">
        <v>66</v>
      </c>
      <c r="D189" s="4" t="s">
        <v>67</v>
      </c>
      <c r="E189" s="6" t="s">
        <v>7</v>
      </c>
      <c r="G189" s="75">
        <f>Input!$E$30</f>
        <v>800</v>
      </c>
      <c r="H189" s="6" t="s">
        <v>65</v>
      </c>
    </row>
    <row r="190" spans="2:18" ht="15.75" x14ac:dyDescent="0.25">
      <c r="D190" s="44"/>
    </row>
    <row r="191" spans="2:18" ht="18.75" x14ac:dyDescent="0.35">
      <c r="B191" s="1" t="s">
        <v>248</v>
      </c>
      <c r="D191" s="4" t="s">
        <v>68</v>
      </c>
      <c r="E191" s="6" t="s">
        <v>7</v>
      </c>
      <c r="G191" s="75">
        <f>Input!$K$29</f>
        <v>260</v>
      </c>
      <c r="H191" s="6" t="s">
        <v>65</v>
      </c>
    </row>
    <row r="192" spans="2:18" ht="18.75" x14ac:dyDescent="0.35">
      <c r="B192" s="1" t="s">
        <v>69</v>
      </c>
      <c r="D192" s="4" t="s">
        <v>70</v>
      </c>
      <c r="E192" s="6" t="s">
        <v>7</v>
      </c>
      <c r="G192" s="75">
        <f>Input!$K$30</f>
        <v>150</v>
      </c>
      <c r="H192" s="6" t="s">
        <v>65</v>
      </c>
    </row>
    <row r="193" spans="2:8" ht="15.75" x14ac:dyDescent="0.25">
      <c r="D193" s="44"/>
    </row>
    <row r="194" spans="2:8" ht="15.75" x14ac:dyDescent="0.25">
      <c r="B194" s="45" t="s">
        <v>71</v>
      </c>
      <c r="D194" s="4" t="s">
        <v>72</v>
      </c>
      <c r="E194" s="6" t="s">
        <v>7</v>
      </c>
      <c r="G194" s="75">
        <v>0</v>
      </c>
      <c r="H194" s="6" t="s">
        <v>65</v>
      </c>
    </row>
    <row r="195" spans="2:8" ht="12.75" customHeight="1" x14ac:dyDescent="0.25">
      <c r="D195" s="44"/>
    </row>
    <row r="196" spans="2:8" ht="15.75" x14ac:dyDescent="0.25">
      <c r="B196" s="1" t="s">
        <v>73</v>
      </c>
      <c r="D196" s="4" t="s">
        <v>74</v>
      </c>
      <c r="E196" s="6" t="s">
        <v>7</v>
      </c>
      <c r="G196" s="75">
        <f>Input!$E$33</f>
        <v>6000</v>
      </c>
      <c r="H196" s="6" t="s">
        <v>65</v>
      </c>
    </row>
    <row r="197" spans="2:8" x14ac:dyDescent="0.2">
      <c r="D197" s="46"/>
      <c r="E197" s="6"/>
      <c r="G197" s="1"/>
      <c r="H197" s="6"/>
    </row>
    <row r="198" spans="2:8" x14ac:dyDescent="0.2">
      <c r="F198" s="43"/>
    </row>
    <row r="199" spans="2:8" ht="15.75" x14ac:dyDescent="0.2">
      <c r="B199" s="379" t="s">
        <v>75</v>
      </c>
      <c r="C199" s="380"/>
      <c r="D199" s="380"/>
      <c r="E199" s="380"/>
      <c r="F199" s="380"/>
      <c r="G199" s="380"/>
      <c r="H199" s="381"/>
    </row>
    <row r="200" spans="2:8" x14ac:dyDescent="0.2">
      <c r="B200" s="1" t="s">
        <v>422</v>
      </c>
      <c r="D200" s="1" t="str">
        <f>'sharp metal'!C4</f>
        <v>SHARP METAL + TBS MAX@a ≤ 100mm</v>
      </c>
    </row>
    <row r="201" spans="2:8" ht="18.75" x14ac:dyDescent="0.35">
      <c r="B201" s="1" t="s">
        <v>425</v>
      </c>
      <c r="D201" s="4" t="s">
        <v>76</v>
      </c>
      <c r="E201" s="6" t="s">
        <v>7</v>
      </c>
      <c r="G201" s="114">
        <v>1000</v>
      </c>
      <c r="H201" s="6" t="s">
        <v>65</v>
      </c>
    </row>
    <row r="202" spans="2:8" x14ac:dyDescent="0.2">
      <c r="B202" s="1" t="s">
        <v>761</v>
      </c>
      <c r="G202" s="56">
        <f>Input!$E$43</f>
        <v>2</v>
      </c>
    </row>
    <row r="203" spans="2:8" x14ac:dyDescent="0.2"/>
    <row r="204" spans="2:8" x14ac:dyDescent="0.2">
      <c r="B204" s="1" t="s">
        <v>77</v>
      </c>
      <c r="E204" s="49"/>
    </row>
    <row r="205" spans="2:8" x14ac:dyDescent="0.2"/>
    <row r="206" spans="2:8" x14ac:dyDescent="0.2">
      <c r="B206" s="395" t="s">
        <v>79</v>
      </c>
      <c r="C206" s="395"/>
      <c r="D206" s="395"/>
      <c r="E206" s="6"/>
      <c r="H206" s="6"/>
    </row>
    <row r="207" spans="2:8" ht="18.75" x14ac:dyDescent="0.35">
      <c r="D207" s="4" t="s">
        <v>80</v>
      </c>
      <c r="E207" s="6" t="s">
        <v>7</v>
      </c>
      <c r="G207" s="47">
        <f>'sharp metal'!C9*0.75+'sharp metal'!G9*0.25</f>
        <v>240187.5</v>
      </c>
      <c r="H207" s="6" t="s">
        <v>78</v>
      </c>
    </row>
    <row r="208" spans="2:8" ht="15.75" x14ac:dyDescent="0.25">
      <c r="D208" s="4"/>
      <c r="E208" s="6"/>
      <c r="H208" s="6"/>
    </row>
    <row r="209" spans="2:9" x14ac:dyDescent="0.2">
      <c r="B209" s="395" t="s">
        <v>81</v>
      </c>
      <c r="C209" s="395"/>
      <c r="D209" s="395"/>
      <c r="E209" s="6"/>
    </row>
    <row r="210" spans="2:9" ht="18.75" x14ac:dyDescent="0.35">
      <c r="D210" s="4" t="s">
        <v>82</v>
      </c>
      <c r="E210" s="6"/>
      <c r="G210" s="47">
        <f>2/3*G207</f>
        <v>160125</v>
      </c>
      <c r="H210" s="6" t="s">
        <v>78</v>
      </c>
    </row>
    <row r="211" spans="2:9" x14ac:dyDescent="0.2">
      <c r="B211" s="1" t="s">
        <v>331</v>
      </c>
      <c r="D211" s="6"/>
      <c r="E211" s="50"/>
    </row>
    <row r="212" spans="2:9" ht="15.75" x14ac:dyDescent="0.25">
      <c r="D212" s="4" t="s">
        <v>423</v>
      </c>
      <c r="E212" s="6" t="s">
        <v>7</v>
      </c>
      <c r="G212" s="76">
        <f>'sharp metal'!C14*I181/MAX($G$223)</f>
        <v>68121.234837792785</v>
      </c>
      <c r="H212" s="6" t="s">
        <v>4</v>
      </c>
    </row>
    <row r="213" spans="2:9" x14ac:dyDescent="0.2">
      <c r="G213" s="76"/>
    </row>
    <row r="214" spans="2:9" ht="15.75" x14ac:dyDescent="0.25">
      <c r="D214" s="4" t="s">
        <v>424</v>
      </c>
      <c r="E214" s="6" t="s">
        <v>7</v>
      </c>
      <c r="G214" s="76">
        <f>'sharp metal'!C14*I180/MAX($G$223)</f>
        <v>79474.773977424906</v>
      </c>
      <c r="H214" s="6" t="s">
        <v>4</v>
      </c>
    </row>
    <row r="215" spans="2:9" ht="15.75" x14ac:dyDescent="0.2">
      <c r="B215" s="379" t="s">
        <v>83</v>
      </c>
      <c r="C215" s="380"/>
      <c r="D215" s="380"/>
      <c r="E215" s="380"/>
      <c r="F215" s="380"/>
      <c r="G215" s="380"/>
      <c r="H215" s="381"/>
      <c r="I215" s="2"/>
    </row>
    <row r="216" spans="2:9" ht="15.75" x14ac:dyDescent="0.2">
      <c r="B216" s="2"/>
      <c r="C216" s="2"/>
      <c r="D216" s="2"/>
      <c r="E216" s="2"/>
      <c r="F216" s="2"/>
      <c r="G216" s="2"/>
      <c r="H216" s="2"/>
      <c r="I216" s="2"/>
    </row>
    <row r="217" spans="2:9" ht="18.75" x14ac:dyDescent="0.35">
      <c r="B217" s="4" t="s">
        <v>84</v>
      </c>
      <c r="E217" s="6" t="s">
        <v>7</v>
      </c>
      <c r="G217" s="6">
        <f>INDEX(kdef[],MATCH($D$129,kdef[CS],0),2)</f>
        <v>0.69</v>
      </c>
      <c r="H217" s="2"/>
      <c r="I217" s="2"/>
    </row>
    <row r="218" spans="2:9" ht="15.75" x14ac:dyDescent="0.2">
      <c r="B218" s="51"/>
      <c r="C218" s="2"/>
      <c r="D218" s="2"/>
      <c r="E218" s="2"/>
      <c r="F218" s="2"/>
      <c r="G218" s="2"/>
      <c r="H218" s="2"/>
      <c r="I218" s="2"/>
    </row>
    <row r="219" spans="2:9" ht="18.75" x14ac:dyDescent="0.35">
      <c r="B219" s="4" t="s">
        <v>85</v>
      </c>
      <c r="C219" s="6" t="str">
        <f>IF(LEFT(Input!$C$22,1)="C","C",IF(LEFT(Input!$C$22,2)="GL","GL","err"))</f>
        <v>C</v>
      </c>
      <c r="D219" s="6"/>
      <c r="E219" s="6" t="s">
        <v>7</v>
      </c>
      <c r="G219" s="12">
        <f>IF(C219="C",IF(G188&lt;=150,MIN((150/G188)^0.2,1.3),1),IF(G188&lt;600,MIN((600/G188)^0.1,1.1),1))</f>
        <v>1.1339665776330272</v>
      </c>
    </row>
    <row r="220" spans="2:9" ht="15.75" x14ac:dyDescent="0.25">
      <c r="B220" s="4"/>
      <c r="C220" s="6"/>
      <c r="D220" s="6"/>
      <c r="E220" s="6"/>
      <c r="G220" s="12"/>
    </row>
    <row r="221" spans="2:9" ht="18.75" x14ac:dyDescent="0.35">
      <c r="B221" s="4" t="s">
        <v>86</v>
      </c>
      <c r="C221" s="6" t="str">
        <f>IF(LEFT(Input!$I$22,1)="C","C",IF(LEFT(Input!$I$22,2)="GL","GL","err"))</f>
        <v>GL</v>
      </c>
      <c r="D221" s="6"/>
      <c r="E221" s="6" t="s">
        <v>7</v>
      </c>
      <c r="G221" s="12">
        <f>IF(C221="C",IF(G191&lt;=150,MIN((150/G191)^0.2,1.3),1),IF(G191&lt;600,MIN((600/G191)^0.1,1.1),1))</f>
        <v>1.0872208946249378</v>
      </c>
    </row>
    <row r="222" spans="2:9" ht="15" x14ac:dyDescent="0.25">
      <c r="B222" s="52"/>
      <c r="C222" s="6"/>
      <c r="D222" s="6"/>
    </row>
    <row r="223" spans="2:9" ht="18.75" x14ac:dyDescent="0.35">
      <c r="B223" s="4" t="s">
        <v>87</v>
      </c>
      <c r="C223" s="6" t="s">
        <v>88</v>
      </c>
      <c r="D223" s="6"/>
      <c r="E223" s="6" t="s">
        <v>7</v>
      </c>
      <c r="G223" s="6">
        <f>INDEX(γ[],MATCH(LEFT(B223,2),γ[γ],0),MATCH(Input!$I$5,γ[#Headers],0))</f>
        <v>1.3</v>
      </c>
    </row>
    <row r="224" spans="2:9" ht="18.75" x14ac:dyDescent="0.35">
      <c r="B224" s="4" t="s">
        <v>775</v>
      </c>
      <c r="C224" s="6" t="s">
        <v>89</v>
      </c>
      <c r="D224" s="6"/>
      <c r="E224" s="6" t="s">
        <v>7</v>
      </c>
      <c r="F224"/>
      <c r="G224" s="6">
        <f>INDEX(γ[],MATCH(B224,γ[γ],0),MATCH(Input!$I$5,γ[#Headers],0))</f>
        <v>1.25</v>
      </c>
      <c r="H224" s="1" t="s">
        <v>438</v>
      </c>
    </row>
    <row r="225" spans="2:9" ht="18.75" x14ac:dyDescent="0.35">
      <c r="B225" s="4" t="s">
        <v>776</v>
      </c>
      <c r="C225" s="6" t="s">
        <v>90</v>
      </c>
      <c r="D225" s="6"/>
      <c r="E225" s="6" t="s">
        <v>7</v>
      </c>
      <c r="G225" s="6">
        <f>INDEX(γ[],MATCH(B225,γ[γ],0),MATCH(Input!$I$5,γ[#Headers],0))</f>
        <v>1.25</v>
      </c>
    </row>
    <row r="226" spans="2:9" x14ac:dyDescent="0.2"/>
    <row r="227" spans="2:9" x14ac:dyDescent="0.2"/>
    <row r="228" spans="2:9" ht="15.75" x14ac:dyDescent="0.2">
      <c r="B228" s="379" t="s">
        <v>91</v>
      </c>
      <c r="C228" s="380"/>
      <c r="D228" s="380"/>
      <c r="E228" s="380"/>
      <c r="F228" s="380"/>
      <c r="G228" s="380"/>
      <c r="H228" s="381"/>
      <c r="I228" s="2"/>
    </row>
    <row r="229" spans="2:9" x14ac:dyDescent="0.2">
      <c r="B229" s="397"/>
      <c r="C229" s="397"/>
      <c r="D229" s="397"/>
      <c r="E229" s="397"/>
      <c r="F229" s="397"/>
      <c r="G229" s="397"/>
    </row>
    <row r="230" spans="2:9" ht="18.75" x14ac:dyDescent="0.35">
      <c r="B230" s="6" t="s">
        <v>92</v>
      </c>
      <c r="D230" s="4" t="s">
        <v>93</v>
      </c>
      <c r="E230" s="6" t="s">
        <v>7</v>
      </c>
      <c r="G230" s="12">
        <f>'Relazione di Calcolo AT SUPPORT'!H136</f>
        <v>2</v>
      </c>
      <c r="H230" s="6" t="s">
        <v>8</v>
      </c>
    </row>
    <row r="231" spans="2:9" ht="18.75" x14ac:dyDescent="0.35">
      <c r="B231" s="6" t="s">
        <v>94</v>
      </c>
      <c r="D231" s="4" t="s">
        <v>95</v>
      </c>
      <c r="E231" s="6" t="s">
        <v>7</v>
      </c>
      <c r="G231" s="12">
        <f>'Relazione di Calcolo AT SUPPORT'!H138</f>
        <v>1.6</v>
      </c>
      <c r="H231" s="6" t="s">
        <v>8</v>
      </c>
    </row>
    <row r="232" spans="2:9" ht="20.25" x14ac:dyDescent="0.3">
      <c r="B232" s="3"/>
      <c r="C232" s="3"/>
      <c r="D232" s="3"/>
      <c r="E232" s="3"/>
      <c r="F232" s="3"/>
      <c r="G232" s="3"/>
      <c r="H232" s="46"/>
      <c r="I232" s="3"/>
    </row>
    <row r="233" spans="2:9" x14ac:dyDescent="0.2">
      <c r="B233" s="395" t="s">
        <v>96</v>
      </c>
      <c r="C233" s="395"/>
      <c r="D233" s="395"/>
      <c r="E233" s="395"/>
      <c r="F233" s="395"/>
      <c r="G233" s="395"/>
      <c r="H233" s="6"/>
    </row>
    <row r="234" spans="2:9" ht="36" customHeight="1" x14ac:dyDescent="0.2">
      <c r="B234" s="6"/>
      <c r="C234" s="53" t="s">
        <v>7</v>
      </c>
      <c r="D234" s="53"/>
      <c r="E234" s="54" t="s">
        <v>7</v>
      </c>
      <c r="G234" s="55">
        <f>(1.35*G230+1.5*G231)</f>
        <v>5.1000000000000005</v>
      </c>
      <c r="H234" s="56" t="s">
        <v>97</v>
      </c>
    </row>
    <row r="235" spans="2:9" ht="20.25" customHeight="1" x14ac:dyDescent="0.2">
      <c r="B235" s="395" t="s">
        <v>98</v>
      </c>
      <c r="C235" s="395"/>
      <c r="D235" s="395"/>
      <c r="E235" s="395"/>
      <c r="F235" s="395"/>
      <c r="G235" s="395"/>
      <c r="H235" s="6"/>
    </row>
    <row r="236" spans="2:9" ht="36" customHeight="1" x14ac:dyDescent="0.2">
      <c r="B236" s="6"/>
      <c r="C236" s="53"/>
      <c r="D236" s="53"/>
      <c r="E236" s="54" t="s">
        <v>7</v>
      </c>
      <c r="G236" s="55">
        <f>(1.35*G230)</f>
        <v>2.7</v>
      </c>
      <c r="H236" s="56" t="s">
        <v>97</v>
      </c>
    </row>
    <row r="237" spans="2:9" ht="13.5" customHeight="1" x14ac:dyDescent="0.2">
      <c r="B237" s="6"/>
      <c r="C237" s="53"/>
      <c r="D237" s="53"/>
      <c r="E237" s="54"/>
      <c r="G237" s="55"/>
      <c r="H237" s="56"/>
    </row>
    <row r="238" spans="2:9" ht="17.25" customHeight="1" x14ac:dyDescent="0.2">
      <c r="B238" s="398" t="s">
        <v>99</v>
      </c>
      <c r="C238" s="398"/>
      <c r="D238" s="398"/>
      <c r="E238" s="398"/>
      <c r="H238" s="6"/>
    </row>
    <row r="239" spans="2:9" ht="42.95" customHeight="1" x14ac:dyDescent="0.2">
      <c r="B239" s="57"/>
      <c r="E239" s="54" t="s">
        <v>7</v>
      </c>
      <c r="G239" s="58">
        <f>$G$234*$G$196^2/8/10^6</f>
        <v>22.950000000000003</v>
      </c>
      <c r="H239" s="56" t="s">
        <v>100</v>
      </c>
    </row>
    <row r="240" spans="2:9" ht="36" customHeight="1" x14ac:dyDescent="0.2">
      <c r="B240" s="57"/>
      <c r="E240" s="54" t="s">
        <v>7</v>
      </c>
      <c r="G240" s="58">
        <f>$G$234*$G$196/2/10^3</f>
        <v>15.300000000000002</v>
      </c>
      <c r="H240" s="56" t="s">
        <v>101</v>
      </c>
    </row>
    <row r="241" spans="2:9" ht="15" customHeight="1" x14ac:dyDescent="0.2">
      <c r="B241" s="6"/>
      <c r="C241" s="59"/>
      <c r="D241" s="59"/>
      <c r="E241" s="59"/>
      <c r="G241" s="60"/>
      <c r="H241" s="56"/>
    </row>
    <row r="242" spans="2:9" ht="20.25" customHeight="1" x14ac:dyDescent="0.2">
      <c r="B242" s="398" t="s">
        <v>102</v>
      </c>
      <c r="C242" s="398"/>
      <c r="D242" s="398"/>
      <c r="E242" s="398"/>
      <c r="H242" s="6"/>
    </row>
    <row r="243" spans="2:9" ht="42.95" customHeight="1" x14ac:dyDescent="0.2">
      <c r="B243" s="57"/>
      <c r="E243" s="54" t="s">
        <v>7</v>
      </c>
      <c r="G243" s="58">
        <f>$G$236*$G$196^2/8/10^6</f>
        <v>12.15</v>
      </c>
      <c r="H243" s="56" t="s">
        <v>100</v>
      </c>
    </row>
    <row r="244" spans="2:9" ht="36" customHeight="1" x14ac:dyDescent="0.2">
      <c r="B244" s="57"/>
      <c r="E244" s="54" t="s">
        <v>7</v>
      </c>
      <c r="G244" s="58">
        <f>$G$236*$G$196/2/10^3</f>
        <v>8.1000000000000014</v>
      </c>
      <c r="H244" s="56" t="s">
        <v>101</v>
      </c>
    </row>
    <row r="245" spans="2:9" ht="15" x14ac:dyDescent="0.2">
      <c r="B245" s="57"/>
      <c r="E245" s="54"/>
      <c r="G245" s="58"/>
      <c r="H245" s="56"/>
    </row>
    <row r="246" spans="2:9" ht="15" x14ac:dyDescent="0.2">
      <c r="B246" s="57"/>
      <c r="E246" s="54"/>
      <c r="G246" s="58"/>
      <c r="H246" s="56"/>
    </row>
    <row r="247" spans="2:9" ht="15.75" x14ac:dyDescent="0.2">
      <c r="B247" s="379" t="s">
        <v>103</v>
      </c>
      <c r="C247" s="380"/>
      <c r="D247" s="380"/>
      <c r="E247" s="380"/>
      <c r="F247" s="380"/>
      <c r="G247" s="380"/>
      <c r="H247" s="381"/>
      <c r="I247" s="2"/>
    </row>
    <row r="248" spans="2:9" x14ac:dyDescent="0.2"/>
    <row r="249" spans="2:9" x14ac:dyDescent="0.2">
      <c r="B249" s="61" t="s">
        <v>104</v>
      </c>
    </row>
    <row r="250" spans="2:9" x14ac:dyDescent="0.2"/>
    <row r="251" spans="2:9" x14ac:dyDescent="0.2"/>
    <row r="252" spans="2:9" ht="18.75" x14ac:dyDescent="0.35">
      <c r="C252" s="1" t="s">
        <v>105</v>
      </c>
      <c r="E252" s="4" t="s">
        <v>106</v>
      </c>
      <c r="F252" s="6" t="s">
        <v>7</v>
      </c>
      <c r="G252" s="62">
        <f>D155*F106</f>
        <v>97020000000</v>
      </c>
      <c r="H252" s="6" t="s">
        <v>107</v>
      </c>
    </row>
    <row r="253" spans="2:9" x14ac:dyDescent="0.2">
      <c r="H253" s="6"/>
    </row>
    <row r="254" spans="2:9" x14ac:dyDescent="0.2">
      <c r="H254" s="6"/>
    </row>
    <row r="255" spans="2:9" ht="18.75" x14ac:dyDescent="0.35">
      <c r="C255" s="1" t="s">
        <v>108</v>
      </c>
      <c r="E255" s="4" t="s">
        <v>109</v>
      </c>
      <c r="F255" s="6" t="s">
        <v>7</v>
      </c>
      <c r="G255" s="62">
        <f>D155*F107</f>
        <v>138600000</v>
      </c>
      <c r="H255" s="6" t="s">
        <v>4</v>
      </c>
    </row>
    <row r="256" spans="2:9" ht="15.75" x14ac:dyDescent="0.25">
      <c r="E256" s="48"/>
      <c r="H256" s="6"/>
    </row>
    <row r="257" spans="2:8" ht="15.75" x14ac:dyDescent="0.25">
      <c r="B257" s="61" t="s">
        <v>110</v>
      </c>
      <c r="E257" s="48"/>
      <c r="H257" s="6"/>
    </row>
    <row r="258" spans="2:8" ht="15.75" x14ac:dyDescent="0.25">
      <c r="E258" s="48"/>
      <c r="H258" s="6"/>
    </row>
    <row r="259" spans="2:8" ht="15.75" x14ac:dyDescent="0.25">
      <c r="E259" s="48"/>
      <c r="H259" s="6"/>
    </row>
    <row r="260" spans="2:8" ht="18.75" x14ac:dyDescent="0.35">
      <c r="C260" s="1" t="s">
        <v>105</v>
      </c>
      <c r="E260" s="4" t="s">
        <v>111</v>
      </c>
      <c r="F260" s="6" t="s">
        <v>7</v>
      </c>
      <c r="G260" s="62">
        <f>D179*G192*G191^3/12</f>
        <v>2526550000000</v>
      </c>
      <c r="H260" s="6" t="s">
        <v>107</v>
      </c>
    </row>
    <row r="261" spans="2:8" ht="15.75" x14ac:dyDescent="0.25">
      <c r="E261" s="48"/>
      <c r="H261" s="6"/>
    </row>
    <row r="262" spans="2:8" ht="15.75" x14ac:dyDescent="0.25">
      <c r="E262" s="48"/>
      <c r="H262" s="6"/>
    </row>
    <row r="263" spans="2:8" ht="18.75" x14ac:dyDescent="0.35">
      <c r="C263" s="1" t="s">
        <v>108</v>
      </c>
      <c r="E263" s="4" t="s">
        <v>112</v>
      </c>
      <c r="F263" s="6" t="s">
        <v>7</v>
      </c>
      <c r="G263" s="6">
        <f>D179*G191*G192</f>
        <v>448500000</v>
      </c>
      <c r="H263" s="6" t="s">
        <v>4</v>
      </c>
    </row>
    <row r="264" spans="2:8" ht="15.75" x14ac:dyDescent="0.25">
      <c r="E264" s="48"/>
      <c r="H264" s="6"/>
    </row>
    <row r="265" spans="2:8" ht="15.75" x14ac:dyDescent="0.25">
      <c r="E265" s="48"/>
      <c r="H265" s="6"/>
    </row>
    <row r="266" spans="2:8" ht="15.75" x14ac:dyDescent="0.25">
      <c r="B266" s="61" t="s">
        <v>113</v>
      </c>
      <c r="E266" s="48"/>
      <c r="H266" s="6"/>
    </row>
    <row r="267" spans="2:8" ht="15.75" x14ac:dyDescent="0.25">
      <c r="E267" s="48"/>
      <c r="H267" s="6"/>
    </row>
    <row r="268" spans="2:8" ht="15.75" x14ac:dyDescent="0.25">
      <c r="E268" s="48"/>
      <c r="H268" s="6"/>
    </row>
    <row r="269" spans="2:8" ht="18.75" x14ac:dyDescent="0.35">
      <c r="C269" s="1" t="s">
        <v>105</v>
      </c>
      <c r="E269" s="5" t="s">
        <v>114</v>
      </c>
      <c r="F269" s="6" t="s">
        <v>7</v>
      </c>
      <c r="G269" s="62">
        <f>G260+G252</f>
        <v>2623570000000</v>
      </c>
      <c r="H269" s="6" t="s">
        <v>107</v>
      </c>
    </row>
    <row r="270" spans="2:8" ht="15.75" x14ac:dyDescent="0.25">
      <c r="E270" s="5"/>
      <c r="H270" s="6"/>
    </row>
    <row r="271" spans="2:8" ht="15.75" x14ac:dyDescent="0.25">
      <c r="E271" s="5"/>
      <c r="H271" s="6"/>
    </row>
    <row r="272" spans="2:8" ht="18.75" x14ac:dyDescent="0.35">
      <c r="C272" s="1" t="s">
        <v>108</v>
      </c>
      <c r="E272" s="5" t="s">
        <v>115</v>
      </c>
      <c r="F272" s="6" t="s">
        <v>7</v>
      </c>
      <c r="G272" s="62">
        <f>(G263*G255)/(G263+G255)</f>
        <v>105879918.24220747</v>
      </c>
      <c r="H272" s="6" t="s">
        <v>4</v>
      </c>
    </row>
    <row r="273" spans="2:8" x14ac:dyDescent="0.2"/>
    <row r="274" spans="2:8" x14ac:dyDescent="0.2"/>
    <row r="275" spans="2:8" x14ac:dyDescent="0.2">
      <c r="B275" s="61" t="s">
        <v>116</v>
      </c>
    </row>
    <row r="276" spans="2:8" x14ac:dyDescent="0.2"/>
    <row r="277" spans="2:8" x14ac:dyDescent="0.2"/>
    <row r="278" spans="2:8" x14ac:dyDescent="0.2">
      <c r="F278" s="6" t="s">
        <v>7</v>
      </c>
      <c r="G278" s="6">
        <f>G188/2+G191/2+G194</f>
        <v>170</v>
      </c>
      <c r="H278" s="6" t="s">
        <v>65</v>
      </c>
    </row>
    <row r="279" spans="2:8" x14ac:dyDescent="0.2"/>
    <row r="280" spans="2:8" x14ac:dyDescent="0.2">
      <c r="B280" s="61" t="s">
        <v>117</v>
      </c>
    </row>
    <row r="281" spans="2:8" x14ac:dyDescent="0.2"/>
    <row r="282" spans="2:8" ht="14.25" x14ac:dyDescent="0.2">
      <c r="B282" s="45" t="s">
        <v>105</v>
      </c>
      <c r="F282" s="6" t="s">
        <v>7</v>
      </c>
      <c r="G282" s="62">
        <f>G269+G272*G278^2</f>
        <v>5683499637199.7959</v>
      </c>
      <c r="H282" s="6" t="s">
        <v>107</v>
      </c>
    </row>
    <row r="283" spans="2:8" x14ac:dyDescent="0.2"/>
    <row r="284" spans="2:8" x14ac:dyDescent="0.2"/>
    <row r="285" spans="2:8" x14ac:dyDescent="0.2">
      <c r="B285" s="61" t="s">
        <v>118</v>
      </c>
    </row>
    <row r="286" spans="2:8" x14ac:dyDescent="0.2">
      <c r="B286" s="61"/>
    </row>
    <row r="287" spans="2:8" x14ac:dyDescent="0.2">
      <c r="B287" s="1" t="s">
        <v>119</v>
      </c>
    </row>
    <row r="288" spans="2:8" x14ac:dyDescent="0.2"/>
    <row r="289" spans="6:8" x14ac:dyDescent="0.2"/>
    <row r="290" spans="6:8" x14ac:dyDescent="0.2">
      <c r="F290" s="6" t="s">
        <v>7</v>
      </c>
      <c r="G290" s="109">
        <f>(1+3.14^2*G255*G201/G210/G196^2)^-1</f>
        <v>0.80836729948427055</v>
      </c>
    </row>
    <row r="291" spans="6:8" x14ac:dyDescent="0.2"/>
    <row r="292" spans="6:8" x14ac:dyDescent="0.2"/>
    <row r="293" spans="6:8" x14ac:dyDescent="0.2">
      <c r="F293" s="6"/>
    </row>
    <row r="294" spans="6:8" x14ac:dyDescent="0.2">
      <c r="F294" s="6" t="s">
        <v>7</v>
      </c>
      <c r="G294" s="108">
        <f>(G290*G255*G278)/(G290*G255+G263)</f>
        <v>33.979306101812639</v>
      </c>
      <c r="H294" s="6" t="s">
        <v>65</v>
      </c>
    </row>
    <row r="295" spans="6:8" x14ac:dyDescent="0.2">
      <c r="H295" s="6"/>
    </row>
    <row r="296" spans="6:8" x14ac:dyDescent="0.2">
      <c r="H296" s="6"/>
    </row>
    <row r="297" spans="6:8" x14ac:dyDescent="0.2">
      <c r="H297" s="6"/>
    </row>
    <row r="298" spans="6:8" x14ac:dyDescent="0.2">
      <c r="H298" s="6"/>
    </row>
    <row r="299" spans="6:8" x14ac:dyDescent="0.2">
      <c r="H299" s="6"/>
    </row>
    <row r="300" spans="6:8" x14ac:dyDescent="0.2">
      <c r="F300" s="6" t="s">
        <v>7</v>
      </c>
      <c r="G300" s="12">
        <f>G278-G294</f>
        <v>136.02069389818735</v>
      </c>
      <c r="H300" s="6" t="s">
        <v>65</v>
      </c>
    </row>
    <row r="301" spans="6:8" x14ac:dyDescent="0.2"/>
    <row r="302" spans="6:8" x14ac:dyDescent="0.2"/>
    <row r="303" spans="6:8" ht="14.25" x14ac:dyDescent="0.2">
      <c r="F303" s="6" t="s">
        <v>7</v>
      </c>
      <c r="G303" s="110">
        <f>G252+G260+G263*G294^2+G255*G300^2*G290</f>
        <v>5214322193732.7031</v>
      </c>
      <c r="H303" s="6" t="s">
        <v>107</v>
      </c>
    </row>
    <row r="304" spans="6:8" x14ac:dyDescent="0.2"/>
    <row r="305" spans="2:9" x14ac:dyDescent="0.2"/>
    <row r="306" spans="2:9" x14ac:dyDescent="0.2">
      <c r="B306" s="61" t="s">
        <v>121</v>
      </c>
    </row>
    <row r="307" spans="2:9" x14ac:dyDescent="0.2"/>
    <row r="308" spans="2:9" x14ac:dyDescent="0.2"/>
    <row r="309" spans="2:9" x14ac:dyDescent="0.2">
      <c r="F309" s="6" t="s">
        <v>7</v>
      </c>
      <c r="G309" s="12">
        <f>(G303-G269)/(G282-G269)</f>
        <v>0.84667051236627566</v>
      </c>
    </row>
    <row r="310" spans="2:9" x14ac:dyDescent="0.2"/>
    <row r="311" spans="2:9" x14ac:dyDescent="0.2"/>
    <row r="312" spans="2:9" x14ac:dyDescent="0.2"/>
    <row r="313" spans="2:9" ht="15.75" x14ac:dyDescent="0.2">
      <c r="B313" s="379" t="s">
        <v>122</v>
      </c>
      <c r="C313" s="380"/>
      <c r="D313" s="380"/>
      <c r="E313" s="380"/>
      <c r="F313" s="380"/>
      <c r="G313" s="380"/>
      <c r="H313" s="381"/>
      <c r="I313" s="2"/>
    </row>
    <row r="314" spans="2:9" ht="18.75" x14ac:dyDescent="0.3">
      <c r="B314" s="66"/>
      <c r="C314" s="66"/>
      <c r="D314" s="66"/>
      <c r="E314" s="66"/>
      <c r="F314" s="66"/>
      <c r="G314" s="66"/>
      <c r="H314" s="66"/>
      <c r="I314" s="66"/>
    </row>
    <row r="315" spans="2:9" x14ac:dyDescent="0.2">
      <c r="B315" s="61" t="s">
        <v>123</v>
      </c>
    </row>
    <row r="316" spans="2:9" x14ac:dyDescent="0.2"/>
    <row r="317" spans="2:9" x14ac:dyDescent="0.2"/>
    <row r="318" spans="2:9" x14ac:dyDescent="0.2">
      <c r="F318" s="6" t="s">
        <v>7</v>
      </c>
      <c r="G318" s="47">
        <f>$D$155/(1+G321*$G$217)</f>
        <v>6508.875739644971</v>
      </c>
      <c r="H318" s="6" t="s">
        <v>287</v>
      </c>
    </row>
    <row r="319" spans="2:9" x14ac:dyDescent="0.2"/>
    <row r="320" spans="2:9" x14ac:dyDescent="0.2"/>
    <row r="321" spans="2:8" ht="12.75" customHeight="1" x14ac:dyDescent="0.25">
      <c r="B321" s="396" t="s">
        <v>124</v>
      </c>
      <c r="C321" s="396"/>
      <c r="D321" s="396"/>
      <c r="E321" s="396"/>
      <c r="F321" s="67" t="s">
        <v>7</v>
      </c>
      <c r="G321" s="8">
        <v>1</v>
      </c>
      <c r="H321" s="68"/>
    </row>
    <row r="322" spans="2:8" x14ac:dyDescent="0.2"/>
    <row r="323" spans="2:8" x14ac:dyDescent="0.2"/>
    <row r="324" spans="2:8" x14ac:dyDescent="0.2">
      <c r="B324" s="61" t="s">
        <v>125</v>
      </c>
    </row>
    <row r="325" spans="2:8" x14ac:dyDescent="0.2">
      <c r="B325" s="61"/>
    </row>
    <row r="326" spans="2:8" x14ac:dyDescent="0.2">
      <c r="B326" s="61"/>
      <c r="F326" s="6"/>
    </row>
    <row r="327" spans="2:8" x14ac:dyDescent="0.2">
      <c r="B327" s="61"/>
      <c r="F327" s="6" t="s">
        <v>7</v>
      </c>
      <c r="G327" s="47">
        <f>$D$179/(1+$G$217*G321)</f>
        <v>6804.7337278106515</v>
      </c>
      <c r="H327" s="6" t="s">
        <v>141</v>
      </c>
    </row>
    <row r="328" spans="2:8" x14ac:dyDescent="0.2">
      <c r="B328" s="61"/>
    </row>
    <row r="329" spans="2:8" x14ac:dyDescent="0.2">
      <c r="B329" s="61"/>
    </row>
    <row r="330" spans="2:8" x14ac:dyDescent="0.2">
      <c r="B330" s="61"/>
    </row>
    <row r="331" spans="2:8" x14ac:dyDescent="0.2">
      <c r="B331" s="61"/>
    </row>
    <row r="332" spans="2:8" x14ac:dyDescent="0.2">
      <c r="B332" s="61"/>
    </row>
    <row r="333" spans="2:8" x14ac:dyDescent="0.2">
      <c r="B333" s="61" t="s">
        <v>126</v>
      </c>
    </row>
    <row r="334" spans="2:8" x14ac:dyDescent="0.2">
      <c r="B334" s="61"/>
    </row>
    <row r="335" spans="2:8" x14ac:dyDescent="0.2">
      <c r="B335" s="61"/>
    </row>
    <row r="336" spans="2:8" x14ac:dyDescent="0.2">
      <c r="B336" s="61"/>
      <c r="F336" s="6" t="s">
        <v>7</v>
      </c>
      <c r="G336" s="47">
        <f>$G$210/(1+$G$217*G321)</f>
        <v>94748.52071005918</v>
      </c>
      <c r="H336" s="6" t="s">
        <v>78</v>
      </c>
    </row>
    <row r="337" spans="2:8" x14ac:dyDescent="0.2">
      <c r="B337" s="61"/>
    </row>
    <row r="338" spans="2:8" x14ac:dyDescent="0.2">
      <c r="B338" s="61"/>
    </row>
    <row r="339" spans="2:8" x14ac:dyDescent="0.2">
      <c r="B339" s="61"/>
    </row>
    <row r="340" spans="2:8" x14ac:dyDescent="0.2">
      <c r="B340" s="399" t="s">
        <v>127</v>
      </c>
      <c r="C340" s="399"/>
      <c r="D340" s="399"/>
      <c r="E340" s="399"/>
      <c r="F340" s="399"/>
    </row>
    <row r="341" spans="2:8" x14ac:dyDescent="0.2"/>
    <row r="342" spans="2:8" x14ac:dyDescent="0.2">
      <c r="B342" s="61" t="s">
        <v>128</v>
      </c>
    </row>
    <row r="343" spans="2:8" x14ac:dyDescent="0.2"/>
    <row r="344" spans="2:8" ht="18.75" x14ac:dyDescent="0.35">
      <c r="C344" s="1" t="s">
        <v>105</v>
      </c>
      <c r="E344" s="4" t="s">
        <v>106</v>
      </c>
      <c r="F344" s="6" t="s">
        <v>7</v>
      </c>
      <c r="G344" s="62">
        <f>G318*F106</f>
        <v>57408284023.66864</v>
      </c>
      <c r="H344" s="6" t="s">
        <v>107</v>
      </c>
    </row>
    <row r="345" spans="2:8" ht="15.75" x14ac:dyDescent="0.25">
      <c r="E345" s="48"/>
      <c r="H345" s="6"/>
    </row>
    <row r="346" spans="2:8" ht="18.75" x14ac:dyDescent="0.35">
      <c r="C346" s="1" t="s">
        <v>108</v>
      </c>
      <c r="E346" s="4" t="s">
        <v>109</v>
      </c>
      <c r="F346" s="6" t="s">
        <v>7</v>
      </c>
      <c r="G346" s="62">
        <f>G318*F107</f>
        <v>82011834.319526628</v>
      </c>
      <c r="H346" s="6" t="s">
        <v>4</v>
      </c>
    </row>
    <row r="347" spans="2:8" ht="15.75" x14ac:dyDescent="0.25">
      <c r="E347" s="48"/>
      <c r="H347" s="6"/>
    </row>
    <row r="348" spans="2:8" ht="15.75" x14ac:dyDescent="0.25">
      <c r="B348" s="61" t="s">
        <v>129</v>
      </c>
      <c r="E348" s="48"/>
      <c r="H348" s="6"/>
    </row>
    <row r="349" spans="2:8" ht="15.75" x14ac:dyDescent="0.25">
      <c r="E349" s="48"/>
      <c r="H349" s="6"/>
    </row>
    <row r="350" spans="2:8" ht="18.75" x14ac:dyDescent="0.35">
      <c r="C350" s="1" t="s">
        <v>105</v>
      </c>
      <c r="E350" s="4" t="s">
        <v>111</v>
      </c>
      <c r="F350" s="6" t="s">
        <v>7</v>
      </c>
      <c r="G350" s="62">
        <f>G327*$G$191^3*$G$192/12</f>
        <v>1495000000000.0002</v>
      </c>
      <c r="H350" s="6" t="s">
        <v>107</v>
      </c>
    </row>
    <row r="351" spans="2:8" ht="15.75" x14ac:dyDescent="0.25">
      <c r="E351" s="48"/>
      <c r="H351" s="6"/>
    </row>
    <row r="352" spans="2:8" ht="18.75" x14ac:dyDescent="0.35">
      <c r="C352" s="1" t="s">
        <v>108</v>
      </c>
      <c r="E352" s="4" t="s">
        <v>112</v>
      </c>
      <c r="F352" s="6" t="s">
        <v>7</v>
      </c>
      <c r="G352" s="62">
        <f>G327*$G$191*$G$192</f>
        <v>265384615.38461542</v>
      </c>
      <c r="H352" s="6" t="s">
        <v>4</v>
      </c>
    </row>
    <row r="353" spans="2:8" ht="15.75" x14ac:dyDescent="0.25">
      <c r="E353" s="4"/>
      <c r="F353" s="6"/>
      <c r="G353" s="62"/>
      <c r="H353" s="6"/>
    </row>
    <row r="354" spans="2:8" ht="15.75" x14ac:dyDescent="0.25">
      <c r="E354" s="4"/>
      <c r="F354" s="6"/>
      <c r="G354" s="62"/>
      <c r="H354" s="6"/>
    </row>
    <row r="355" spans="2:8" ht="15.75" x14ac:dyDescent="0.25">
      <c r="E355" s="48"/>
      <c r="H355" s="6"/>
    </row>
    <row r="356" spans="2:8" ht="15.75" x14ac:dyDescent="0.25">
      <c r="B356" s="61" t="s">
        <v>240</v>
      </c>
      <c r="E356" s="48"/>
      <c r="H356" s="6"/>
    </row>
    <row r="357" spans="2:8" ht="15.75" x14ac:dyDescent="0.25">
      <c r="E357" s="48"/>
      <c r="H357" s="6"/>
    </row>
    <row r="358" spans="2:8" ht="18.75" x14ac:dyDescent="0.35">
      <c r="C358" s="1" t="s">
        <v>105</v>
      </c>
      <c r="E358" s="5" t="s">
        <v>130</v>
      </c>
      <c r="F358" s="6" t="s">
        <v>7</v>
      </c>
      <c r="G358" s="62">
        <f>G350+G344</f>
        <v>1552408284023.6689</v>
      </c>
      <c r="H358" s="6" t="s">
        <v>107</v>
      </c>
    </row>
    <row r="359" spans="2:8" ht="15.75" x14ac:dyDescent="0.25">
      <c r="E359" s="5"/>
    </row>
    <row r="360" spans="2:8" ht="15.75" x14ac:dyDescent="0.25">
      <c r="E360" s="5"/>
    </row>
    <row r="361" spans="2:8" ht="18.75" x14ac:dyDescent="0.35">
      <c r="C361" s="1" t="s">
        <v>108</v>
      </c>
      <c r="E361" s="5" t="s">
        <v>131</v>
      </c>
      <c r="F361" s="6" t="s">
        <v>7</v>
      </c>
      <c r="G361" s="62">
        <f>(G352*G346)/(G352+G346)</f>
        <v>62650839.19657246</v>
      </c>
      <c r="H361" s="6" t="s">
        <v>4</v>
      </c>
    </row>
    <row r="362" spans="2:8" x14ac:dyDescent="0.2">
      <c r="H362" s="6"/>
    </row>
    <row r="363" spans="2:8" x14ac:dyDescent="0.2">
      <c r="B363" s="61" t="s">
        <v>132</v>
      </c>
      <c r="H363" s="6"/>
    </row>
    <row r="364" spans="2:8" x14ac:dyDescent="0.2">
      <c r="H364" s="6"/>
    </row>
    <row r="365" spans="2:8" ht="15.75" x14ac:dyDescent="0.25">
      <c r="E365" s="5" t="s">
        <v>133</v>
      </c>
      <c r="F365" s="6" t="s">
        <v>7</v>
      </c>
      <c r="G365" s="6">
        <f>G278</f>
        <v>170</v>
      </c>
      <c r="H365" s="6" t="s">
        <v>65</v>
      </c>
    </row>
    <row r="366" spans="2:8" x14ac:dyDescent="0.2">
      <c r="H366" s="6"/>
    </row>
    <row r="367" spans="2:8" x14ac:dyDescent="0.2">
      <c r="B367" s="61" t="s">
        <v>117</v>
      </c>
      <c r="H367" s="6"/>
    </row>
    <row r="368" spans="2:8" x14ac:dyDescent="0.2">
      <c r="H368" s="6"/>
    </row>
    <row r="369" spans="2:8" x14ac:dyDescent="0.2">
      <c r="H369" s="6"/>
    </row>
    <row r="370" spans="2:8" ht="14.25" x14ac:dyDescent="0.2">
      <c r="B370" s="1" t="s">
        <v>105</v>
      </c>
      <c r="F370" s="6" t="s">
        <v>7</v>
      </c>
      <c r="G370" s="62">
        <f>G358+G361*G365^2</f>
        <v>3363017536804.6133</v>
      </c>
      <c r="H370" s="6" t="s">
        <v>107</v>
      </c>
    </row>
    <row r="371" spans="2:8" x14ac:dyDescent="0.2"/>
    <row r="372" spans="2:8" x14ac:dyDescent="0.2"/>
    <row r="373" spans="2:8" x14ac:dyDescent="0.2">
      <c r="B373" s="61" t="s">
        <v>118</v>
      </c>
    </row>
    <row r="374" spans="2:8" x14ac:dyDescent="0.2">
      <c r="B374" s="61"/>
    </row>
    <row r="375" spans="2:8" x14ac:dyDescent="0.2">
      <c r="B375" s="1" t="s">
        <v>119</v>
      </c>
    </row>
    <row r="376" spans="2:8" ht="18.75" x14ac:dyDescent="0.35">
      <c r="E376" s="4" t="s">
        <v>134</v>
      </c>
      <c r="F376" s="6" t="s">
        <v>7</v>
      </c>
      <c r="G376" s="107">
        <f>(1+3.14^2*G346*$G$201/G336/$G$196^2)^-1</f>
        <v>0.80836729948427055</v>
      </c>
    </row>
    <row r="377" spans="2:8" x14ac:dyDescent="0.2"/>
    <row r="378" spans="2:8" x14ac:dyDescent="0.2">
      <c r="E378" s="6"/>
    </row>
    <row r="379" spans="2:8" x14ac:dyDescent="0.2">
      <c r="F379" s="6" t="s">
        <v>7</v>
      </c>
      <c r="G379" s="12">
        <f>(G376*G346*G365)/(G376*G346+G352)</f>
        <v>33.979306101812639</v>
      </c>
      <c r="H379" s="6" t="s">
        <v>65</v>
      </c>
    </row>
    <row r="380" spans="2:8" x14ac:dyDescent="0.2"/>
    <row r="381" spans="2:8" x14ac:dyDescent="0.2"/>
    <row r="382" spans="2:8" x14ac:dyDescent="0.2">
      <c r="F382" s="6" t="s">
        <v>7</v>
      </c>
      <c r="G382" s="12">
        <f>G365-G379</f>
        <v>136.02069389818735</v>
      </c>
      <c r="H382" s="6" t="s">
        <v>65</v>
      </c>
    </row>
    <row r="383" spans="2:8" x14ac:dyDescent="0.2"/>
    <row r="384" spans="2:8" ht="18.75" x14ac:dyDescent="0.35">
      <c r="E384" s="5" t="s">
        <v>135</v>
      </c>
      <c r="F384" s="6" t="s">
        <v>7</v>
      </c>
      <c r="G384" s="112">
        <f>G344+G350+G352*G379^2+G346*G382^2*G376</f>
        <v>3085397747770.8311</v>
      </c>
      <c r="H384" s="6" t="s">
        <v>107</v>
      </c>
    </row>
    <row r="385" spans="2:8" x14ac:dyDescent="0.2"/>
    <row r="386" spans="2:8" x14ac:dyDescent="0.2">
      <c r="B386" s="61" t="s">
        <v>121</v>
      </c>
    </row>
    <row r="387" spans="2:8" x14ac:dyDescent="0.2"/>
    <row r="388" spans="2:8" x14ac:dyDescent="0.2"/>
    <row r="389" spans="2:8" x14ac:dyDescent="0.2">
      <c r="F389" s="6" t="s">
        <v>7</v>
      </c>
      <c r="G389" s="12">
        <f>(G384-G358)/(G370-G358)</f>
        <v>0.84667051236627588</v>
      </c>
    </row>
    <row r="390" spans="2:8" x14ac:dyDescent="0.2"/>
    <row r="391" spans="2:8" x14ac:dyDescent="0.2"/>
    <row r="392" spans="2:8" ht="15.75" x14ac:dyDescent="0.2">
      <c r="B392" s="379" t="s">
        <v>241</v>
      </c>
      <c r="C392" s="380"/>
      <c r="D392" s="380"/>
      <c r="E392" s="380"/>
      <c r="F392" s="380"/>
      <c r="G392" s="380"/>
      <c r="H392" s="381"/>
    </row>
    <row r="393" spans="2:8" ht="18.75" x14ac:dyDescent="0.3">
      <c r="B393" s="66"/>
      <c r="C393" s="66"/>
      <c r="D393" s="66"/>
      <c r="E393" s="66"/>
      <c r="F393" s="66"/>
      <c r="G393" s="66"/>
      <c r="H393" s="66"/>
    </row>
    <row r="394" spans="2:8" x14ac:dyDescent="0.2">
      <c r="B394" s="61" t="s">
        <v>123</v>
      </c>
    </row>
    <row r="395" spans="2:8" x14ac:dyDescent="0.2"/>
    <row r="396" spans="2:8" x14ac:dyDescent="0.2"/>
    <row r="397" spans="2:8" x14ac:dyDescent="0.2">
      <c r="F397" s="6" t="s">
        <v>7</v>
      </c>
      <c r="G397" s="64">
        <f>$D$155/(1+G400*$G$217)</f>
        <v>9113.5045567522775</v>
      </c>
      <c r="H397" s="6" t="s">
        <v>287</v>
      </c>
    </row>
    <row r="398" spans="2:8" x14ac:dyDescent="0.2"/>
    <row r="399" spans="2:8" x14ac:dyDescent="0.2"/>
    <row r="400" spans="2:8" ht="13.5" x14ac:dyDescent="0.25">
      <c r="B400" s="396" t="s">
        <v>124</v>
      </c>
      <c r="C400" s="396"/>
      <c r="D400" s="396"/>
      <c r="E400" s="396"/>
      <c r="F400" s="67" t="s">
        <v>7</v>
      </c>
      <c r="G400" s="8">
        <f>H126</f>
        <v>0.3</v>
      </c>
      <c r="H400" s="68"/>
    </row>
    <row r="401" spans="2:8" x14ac:dyDescent="0.2"/>
    <row r="402" spans="2:8" x14ac:dyDescent="0.2"/>
    <row r="403" spans="2:8" x14ac:dyDescent="0.2">
      <c r="B403" s="61" t="s">
        <v>125</v>
      </c>
    </row>
    <row r="404" spans="2:8" x14ac:dyDescent="0.2">
      <c r="B404" s="61"/>
    </row>
    <row r="405" spans="2:8" x14ac:dyDescent="0.2">
      <c r="B405" s="61"/>
      <c r="F405" s="6"/>
    </row>
    <row r="406" spans="2:8" x14ac:dyDescent="0.2">
      <c r="B406" s="61"/>
      <c r="F406" s="6" t="s">
        <v>7</v>
      </c>
      <c r="G406" s="64">
        <f>$D$179/(1+$G$217*G400)</f>
        <v>9527.7547638773813</v>
      </c>
      <c r="H406" s="6" t="s">
        <v>141</v>
      </c>
    </row>
    <row r="407" spans="2:8" x14ac:dyDescent="0.2">
      <c r="B407" s="61"/>
    </row>
    <row r="408" spans="2:8" x14ac:dyDescent="0.2">
      <c r="B408" s="61"/>
    </row>
    <row r="409" spans="2:8" x14ac:dyDescent="0.2">
      <c r="B409" s="61"/>
    </row>
    <row r="410" spans="2:8" x14ac:dyDescent="0.2">
      <c r="B410" s="61"/>
    </row>
    <row r="411" spans="2:8" x14ac:dyDescent="0.2">
      <c r="B411" s="61" t="s">
        <v>126</v>
      </c>
    </row>
    <row r="412" spans="2:8" x14ac:dyDescent="0.2">
      <c r="B412" s="61"/>
    </row>
    <row r="413" spans="2:8" x14ac:dyDescent="0.2">
      <c r="B413" s="61"/>
    </row>
    <row r="414" spans="2:8" x14ac:dyDescent="0.2">
      <c r="B414" s="61"/>
      <c r="F414" s="6" t="s">
        <v>7</v>
      </c>
      <c r="G414" s="47">
        <f>$G$210/(1+$G$217*G400)</f>
        <v>132663.62883181442</v>
      </c>
      <c r="H414" s="6" t="s">
        <v>78</v>
      </c>
    </row>
    <row r="415" spans="2:8" x14ac:dyDescent="0.2">
      <c r="B415" s="61"/>
    </row>
    <row r="416" spans="2:8" x14ac:dyDescent="0.2">
      <c r="B416" s="61"/>
    </row>
    <row r="417" spans="2:8" x14ac:dyDescent="0.2">
      <c r="B417" s="61"/>
    </row>
    <row r="418" spans="2:8" x14ac:dyDescent="0.2">
      <c r="B418" s="399" t="s">
        <v>127</v>
      </c>
      <c r="C418" s="399"/>
      <c r="D418" s="399"/>
      <c r="E418" s="399"/>
      <c r="F418" s="399"/>
    </row>
    <row r="419" spans="2:8" x14ac:dyDescent="0.2"/>
    <row r="420" spans="2:8" x14ac:dyDescent="0.2">
      <c r="B420" s="61" t="s">
        <v>128</v>
      </c>
    </row>
    <row r="421" spans="2:8" x14ac:dyDescent="0.2"/>
    <row r="422" spans="2:8" ht="18.75" x14ac:dyDescent="0.35">
      <c r="C422" s="1" t="s">
        <v>105</v>
      </c>
      <c r="E422" s="4" t="s">
        <v>106</v>
      </c>
      <c r="F422" s="6" t="s">
        <v>7</v>
      </c>
      <c r="G422" s="110">
        <f>G397*F106</f>
        <v>80381110190.555084</v>
      </c>
      <c r="H422" s="6" t="s">
        <v>107</v>
      </c>
    </row>
    <row r="423" spans="2:8" ht="15.75" x14ac:dyDescent="0.25">
      <c r="E423" s="48"/>
      <c r="H423" s="6"/>
    </row>
    <row r="424" spans="2:8" ht="18.75" x14ac:dyDescent="0.35">
      <c r="C424" s="1" t="s">
        <v>108</v>
      </c>
      <c r="E424" s="4" t="s">
        <v>109</v>
      </c>
      <c r="F424" s="6" t="s">
        <v>7</v>
      </c>
      <c r="G424" s="113">
        <f>G397*F107</f>
        <v>114830157.4150787</v>
      </c>
      <c r="H424" s="6" t="s">
        <v>4</v>
      </c>
    </row>
    <row r="425" spans="2:8" ht="15.75" x14ac:dyDescent="0.25">
      <c r="E425" s="48"/>
      <c r="H425" s="6"/>
    </row>
    <row r="426" spans="2:8" ht="15.75" x14ac:dyDescent="0.25">
      <c r="B426" s="61" t="s">
        <v>129</v>
      </c>
      <c r="E426" s="48"/>
      <c r="H426" s="6"/>
    </row>
    <row r="427" spans="2:8" ht="15.75" x14ac:dyDescent="0.25">
      <c r="E427" s="48"/>
      <c r="H427" s="6"/>
    </row>
    <row r="428" spans="2:8" ht="18.75" x14ac:dyDescent="0.35">
      <c r="C428" s="1" t="s">
        <v>105</v>
      </c>
      <c r="E428" s="4" t="s">
        <v>111</v>
      </c>
      <c r="F428" s="6" t="s">
        <v>7</v>
      </c>
      <c r="G428" s="62">
        <f>G406*$G$191^3*$G$192/12</f>
        <v>2093247721623.8606</v>
      </c>
      <c r="H428" s="6" t="s">
        <v>107</v>
      </c>
    </row>
    <row r="429" spans="2:8" ht="15.75" x14ac:dyDescent="0.25">
      <c r="E429" s="48"/>
      <c r="H429" s="6"/>
    </row>
    <row r="430" spans="2:8" ht="18.75" x14ac:dyDescent="0.35">
      <c r="C430" s="1" t="s">
        <v>108</v>
      </c>
      <c r="E430" s="4" t="s">
        <v>112</v>
      </c>
      <c r="F430" s="6" t="s">
        <v>7</v>
      </c>
      <c r="G430" s="62">
        <f>G406*$G$191*$G$192</f>
        <v>371582435.79121786</v>
      </c>
      <c r="H430" s="6" t="s">
        <v>4</v>
      </c>
    </row>
    <row r="431" spans="2:8" ht="15.75" x14ac:dyDescent="0.25">
      <c r="E431" s="48"/>
      <c r="H431" s="6"/>
    </row>
    <row r="432" spans="2:8" ht="15.75" x14ac:dyDescent="0.25">
      <c r="E432" s="48"/>
      <c r="H432" s="6"/>
    </row>
    <row r="433" spans="2:8" ht="15.75" x14ac:dyDescent="0.25">
      <c r="B433" s="61" t="s">
        <v>240</v>
      </c>
      <c r="E433" s="48"/>
      <c r="H433" s="6"/>
    </row>
    <row r="434" spans="2:8" ht="15.75" x14ac:dyDescent="0.25">
      <c r="E434" s="48"/>
      <c r="H434" s="6"/>
    </row>
    <row r="435" spans="2:8" ht="18.75" x14ac:dyDescent="0.35">
      <c r="C435" s="1" t="s">
        <v>105</v>
      </c>
      <c r="E435" s="5" t="s">
        <v>130</v>
      </c>
      <c r="F435" s="6" t="s">
        <v>7</v>
      </c>
      <c r="G435" s="62">
        <f>G428+G422</f>
        <v>2173628831814.4158</v>
      </c>
      <c r="H435" s="6" t="s">
        <v>107</v>
      </c>
    </row>
    <row r="436" spans="2:8" ht="15.75" x14ac:dyDescent="0.25">
      <c r="E436" s="5"/>
    </row>
    <row r="437" spans="2:8" ht="15.75" x14ac:dyDescent="0.25">
      <c r="E437" s="5"/>
    </row>
    <row r="438" spans="2:8" ht="18.75" x14ac:dyDescent="0.35">
      <c r="C438" s="1" t="s">
        <v>108</v>
      </c>
      <c r="E438" s="5" t="s">
        <v>131</v>
      </c>
      <c r="F438" s="6" t="s">
        <v>7</v>
      </c>
      <c r="G438" s="62">
        <f>(G430*G424)/(G430+G424)</f>
        <v>87721556.124446929</v>
      </c>
      <c r="H438" s="6" t="s">
        <v>4</v>
      </c>
    </row>
    <row r="439" spans="2:8" x14ac:dyDescent="0.2">
      <c r="H439" s="6"/>
    </row>
    <row r="440" spans="2:8" x14ac:dyDescent="0.2">
      <c r="B440" s="61" t="s">
        <v>132</v>
      </c>
      <c r="H440" s="6"/>
    </row>
    <row r="441" spans="2:8" x14ac:dyDescent="0.2">
      <c r="H441" s="6"/>
    </row>
    <row r="442" spans="2:8" ht="15.75" x14ac:dyDescent="0.25">
      <c r="E442" s="5" t="s">
        <v>133</v>
      </c>
      <c r="F442" s="6" t="s">
        <v>7</v>
      </c>
      <c r="G442" s="6">
        <f>G278</f>
        <v>170</v>
      </c>
      <c r="H442" s="6" t="s">
        <v>65</v>
      </c>
    </row>
    <row r="443" spans="2:8" x14ac:dyDescent="0.2">
      <c r="H443" s="6"/>
    </row>
    <row r="444" spans="2:8" x14ac:dyDescent="0.2">
      <c r="B444" s="61" t="s">
        <v>117</v>
      </c>
      <c r="H444" s="6"/>
    </row>
    <row r="445" spans="2:8" x14ac:dyDescent="0.2">
      <c r="H445" s="6"/>
    </row>
    <row r="446" spans="2:8" x14ac:dyDescent="0.2">
      <c r="H446" s="6"/>
    </row>
    <row r="447" spans="2:8" ht="14.25" x14ac:dyDescent="0.2">
      <c r="B447" s="1" t="s">
        <v>105</v>
      </c>
      <c r="F447" s="6" t="s">
        <v>7</v>
      </c>
      <c r="G447" s="62">
        <f>G435+G438*G442^2</f>
        <v>4708781803810.9316</v>
      </c>
      <c r="H447" s="6" t="s">
        <v>107</v>
      </c>
    </row>
    <row r="448" spans="2:8" x14ac:dyDescent="0.2"/>
    <row r="449" spans="2:8" x14ac:dyDescent="0.2"/>
    <row r="450" spans="2:8" x14ac:dyDescent="0.2">
      <c r="B450" s="61" t="s">
        <v>118</v>
      </c>
    </row>
    <row r="451" spans="2:8" x14ac:dyDescent="0.2">
      <c r="B451" s="61"/>
    </row>
    <row r="452" spans="2:8" x14ac:dyDescent="0.2">
      <c r="B452" s="1" t="s">
        <v>119</v>
      </c>
    </row>
    <row r="453" spans="2:8" ht="18.75" x14ac:dyDescent="0.35">
      <c r="E453" s="4" t="s">
        <v>134</v>
      </c>
      <c r="F453" s="6" t="s">
        <v>7</v>
      </c>
      <c r="G453" s="107">
        <f>(1+3.14^2*G424*$G$201/G414/$G$196^2)^-1</f>
        <v>0.80836729948427055</v>
      </c>
    </row>
    <row r="454" spans="2:8" x14ac:dyDescent="0.2"/>
    <row r="455" spans="2:8" x14ac:dyDescent="0.2">
      <c r="E455" s="6"/>
    </row>
    <row r="456" spans="2:8" x14ac:dyDescent="0.2">
      <c r="F456" s="6" t="s">
        <v>7</v>
      </c>
      <c r="G456" s="64">
        <f>(G453*G424*G442)/(G453*G424+G430)</f>
        <v>33.979306101812639</v>
      </c>
      <c r="H456" s="6" t="s">
        <v>65</v>
      </c>
    </row>
    <row r="457" spans="2:8" x14ac:dyDescent="0.2"/>
    <row r="458" spans="2:8" x14ac:dyDescent="0.2"/>
    <row r="459" spans="2:8" x14ac:dyDescent="0.2">
      <c r="F459" s="6" t="s">
        <v>7</v>
      </c>
      <c r="G459" s="47">
        <f>G442-G456</f>
        <v>136.02069389818735</v>
      </c>
      <c r="H459" s="6" t="s">
        <v>65</v>
      </c>
    </row>
    <row r="460" spans="2:8" x14ac:dyDescent="0.2"/>
    <row r="461" spans="2:8" ht="18.75" x14ac:dyDescent="0.35">
      <c r="E461" s="5" t="s">
        <v>135</v>
      </c>
      <c r="F461" s="6" t="s">
        <v>7</v>
      </c>
      <c r="G461" s="69">
        <f>G422+G428+G430*G456^2+G424*G459^2*G453</f>
        <v>4320068097541.5938</v>
      </c>
      <c r="H461" s="6" t="s">
        <v>107</v>
      </c>
    </row>
    <row r="462" spans="2:8" ht="15.75" x14ac:dyDescent="0.25">
      <c r="E462" s="5"/>
      <c r="F462" s="6"/>
      <c r="G462" s="69"/>
      <c r="H462" s="6"/>
    </row>
    <row r="463" spans="2:8" x14ac:dyDescent="0.2"/>
    <row r="464" spans="2:8" x14ac:dyDescent="0.2">
      <c r="B464" s="61" t="s">
        <v>121</v>
      </c>
    </row>
    <row r="465" spans="2:9" x14ac:dyDescent="0.2"/>
    <row r="466" spans="2:9" x14ac:dyDescent="0.2"/>
    <row r="467" spans="2:9" x14ac:dyDescent="0.2">
      <c r="F467" s="6" t="s">
        <v>7</v>
      </c>
      <c r="G467" s="12">
        <f>(G461-G435)/(G447-G435)</f>
        <v>0.84667051236627633</v>
      </c>
    </row>
    <row r="468" spans="2:9" x14ac:dyDescent="0.2"/>
    <row r="469" spans="2:9" x14ac:dyDescent="0.2"/>
    <row r="470" spans="2:9" x14ac:dyDescent="0.2"/>
    <row r="471" spans="2:9" x14ac:dyDescent="0.2"/>
    <row r="472" spans="2:9" ht="15.75" x14ac:dyDescent="0.2">
      <c r="B472" s="379" t="s">
        <v>136</v>
      </c>
      <c r="C472" s="380"/>
      <c r="D472" s="380"/>
      <c r="E472" s="380"/>
      <c r="F472" s="380"/>
      <c r="G472" s="380"/>
      <c r="H472" s="381"/>
      <c r="I472" s="2"/>
    </row>
    <row r="473" spans="2:9" x14ac:dyDescent="0.2"/>
    <row r="474" spans="2:9" ht="15" x14ac:dyDescent="0.2">
      <c r="B474" s="400" t="s">
        <v>137</v>
      </c>
      <c r="C474" s="400"/>
      <c r="D474" s="400"/>
      <c r="E474" s="400"/>
      <c r="F474" s="400"/>
      <c r="G474" s="400"/>
    </row>
    <row r="475" spans="2:9" ht="15.75" x14ac:dyDescent="0.25">
      <c r="B475" s="85"/>
      <c r="C475" s="85"/>
      <c r="D475" s="85"/>
      <c r="E475" s="85"/>
      <c r="F475" s="85"/>
      <c r="G475" s="85"/>
    </row>
    <row r="476" spans="2:9" x14ac:dyDescent="0.2">
      <c r="B476" s="1" t="s">
        <v>138</v>
      </c>
    </row>
    <row r="477" spans="2:9" x14ac:dyDescent="0.2"/>
    <row r="478" spans="2:9" x14ac:dyDescent="0.2"/>
    <row r="479" spans="2:9" x14ac:dyDescent="0.2">
      <c r="F479" s="6" t="s">
        <v>7</v>
      </c>
      <c r="G479" s="64">
        <f>G290*G255*G300/G303*G239*10^3</f>
        <v>67.075169726622406</v>
      </c>
      <c r="H479" s="6" t="s">
        <v>101</v>
      </c>
    </row>
    <row r="480" spans="2:9" x14ac:dyDescent="0.2"/>
    <row r="481" spans="2:8" x14ac:dyDescent="0.2"/>
    <row r="482" spans="2:8" x14ac:dyDescent="0.2">
      <c r="B482" s="1" t="s">
        <v>139</v>
      </c>
    </row>
    <row r="483" spans="2:8" x14ac:dyDescent="0.2"/>
    <row r="484" spans="2:8" x14ac:dyDescent="0.2"/>
    <row r="485" spans="2:8" x14ac:dyDescent="0.2">
      <c r="F485" s="6" t="s">
        <v>7</v>
      </c>
      <c r="G485" s="64">
        <f>G252/G303*G239</f>
        <v>0.42701791666733763</v>
      </c>
      <c r="H485" s="6" t="s">
        <v>100</v>
      </c>
    </row>
    <row r="486" spans="2:8" x14ac:dyDescent="0.2"/>
    <row r="487" spans="2:8" x14ac:dyDescent="0.2"/>
    <row r="488" spans="2:8" x14ac:dyDescent="0.2"/>
    <row r="489" spans="2:8" x14ac:dyDescent="0.2"/>
    <row r="490" spans="2:8" x14ac:dyDescent="0.2">
      <c r="B490" s="1" t="s">
        <v>140</v>
      </c>
    </row>
    <row r="491" spans="2:8" x14ac:dyDescent="0.2"/>
    <row r="492" spans="2:8" x14ac:dyDescent="0.2"/>
    <row r="493" spans="2:8" x14ac:dyDescent="0.2">
      <c r="F493" s="6" t="s">
        <v>7</v>
      </c>
      <c r="G493" s="64">
        <f>G479*10^3/F107</f>
        <v>5.3234261687795561</v>
      </c>
      <c r="H493" s="6" t="s">
        <v>141</v>
      </c>
    </row>
    <row r="494" spans="2:8" x14ac:dyDescent="0.2">
      <c r="F494" s="70"/>
    </row>
    <row r="495" spans="2:8" x14ac:dyDescent="0.2">
      <c r="F495" s="70"/>
    </row>
    <row r="496" spans="2:8" x14ac:dyDescent="0.2">
      <c r="F496" s="6" t="s">
        <v>7</v>
      </c>
      <c r="G496" s="83">
        <f>10^6*G485*G188/2/F106</f>
        <v>1.9365891912350912</v>
      </c>
      <c r="H496" s="6" t="s">
        <v>141</v>
      </c>
    </row>
    <row r="497" spans="2:10" x14ac:dyDescent="0.2"/>
    <row r="498" spans="2:10" x14ac:dyDescent="0.2"/>
    <row r="499" spans="2:10" x14ac:dyDescent="0.2"/>
    <row r="500" spans="2:10" x14ac:dyDescent="0.2">
      <c r="B500" s="399" t="s">
        <v>142</v>
      </c>
      <c r="C500" s="399"/>
      <c r="D500" s="399"/>
      <c r="E500" s="399"/>
      <c r="F500" s="399"/>
      <c r="G500" s="399"/>
    </row>
    <row r="501" spans="2:10" x14ac:dyDescent="0.2">
      <c r="B501" s="46"/>
      <c r="C501" s="46"/>
      <c r="D501" s="46"/>
      <c r="E501" s="46"/>
      <c r="F501" s="46"/>
      <c r="G501" s="46"/>
    </row>
    <row r="502" spans="2:10" x14ac:dyDescent="0.2">
      <c r="B502" s="45" t="s">
        <v>143</v>
      </c>
      <c r="C502" s="46"/>
      <c r="D502" s="46"/>
      <c r="E502" s="46"/>
      <c r="F502" s="46"/>
      <c r="G502" s="46"/>
    </row>
    <row r="503" spans="2:10" x14ac:dyDescent="0.2"/>
    <row r="504" spans="2:10" x14ac:dyDescent="0.2">
      <c r="E504" s="111">
        <f>G493/G152+G496/G149</f>
        <v>0.59676375094475009</v>
      </c>
      <c r="F504" s="6" t="str">
        <f>IF(E504&lt;=G504,"≤","&gt;")</f>
        <v>≤</v>
      </c>
      <c r="G504" s="6">
        <v>1</v>
      </c>
      <c r="H504" s="45" t="str">
        <f>IF(E504&lt;G504,"Verifica soddisfatta","Verifica non soddisfatta")</f>
        <v>Verifica soddisfatta</v>
      </c>
    </row>
    <row r="505" spans="2:10" x14ac:dyDescent="0.2">
      <c r="B505" s="12"/>
      <c r="C505" s="6"/>
      <c r="D505" s="12"/>
      <c r="F505" s="6"/>
    </row>
    <row r="506" spans="2:10" x14ac:dyDescent="0.2">
      <c r="C506" s="6"/>
      <c r="D506" s="6"/>
      <c r="E506" s="6"/>
    </row>
    <row r="507" spans="2:10" x14ac:dyDescent="0.2">
      <c r="B507" s="12"/>
      <c r="C507" s="6"/>
      <c r="D507" s="6"/>
      <c r="E507" s="6"/>
    </row>
    <row r="508" spans="2:10" x14ac:dyDescent="0.2">
      <c r="B508" s="1" t="s">
        <v>144</v>
      </c>
    </row>
    <row r="509" spans="2:10" x14ac:dyDescent="0.2"/>
    <row r="510" spans="2:10" x14ac:dyDescent="0.2"/>
    <row r="511" spans="2:10" x14ac:dyDescent="0.2"/>
    <row r="512" spans="2:10" x14ac:dyDescent="0.2">
      <c r="F512" s="6" t="s">
        <v>7</v>
      </c>
      <c r="G512" s="83">
        <f>IF(F105="3 strati",D155/G303*(EJeff!C14*(G300+G188/2-EJeff!C14/2)+EJeff!C16*(G300+G188/2-EJeff!C16/2))*G240*1000,IF(F105="5 strati",D155/G303*(EJeff!C13*(G300+G188/2-EJeff!C13/2)+EJeff!C15*(G300+G188/2-EJeff!C15/2)+EJeff!C17*(G300+G188/2-EJeff!C17/2))*G240*1000,IF(F105="7 strati",D155/G303*(EJeff!C12*(G300+G188/2-EJeff!C12/2)+EJeff!C14*(G300+G188/2-EJeff!C14/2)+EJeff!C15*(G300+G188/2-EJeff!C16/2)+EJeff!C18*(G300+G188/2-EJeff!C19/2))*G240*1000,"errore")))</f>
        <v>0.31183093536840378</v>
      </c>
      <c r="H512" s="6" t="s">
        <v>141</v>
      </c>
      <c r="J512" s="209">
        <f>D155/G303*(EJeff!C14*(G300+G188/2-EJeff!C14/2)+EJeff!C16*(G300+G188/2-EJeff!C16/2))*G240*1000</f>
        <v>0.31183093536840378</v>
      </c>
    </row>
    <row r="513" spans="2:11" x14ac:dyDescent="0.2">
      <c r="K513" s="10" t="s">
        <v>335</v>
      </c>
    </row>
    <row r="514" spans="2:11" x14ac:dyDescent="0.2"/>
    <row r="515" spans="2:11" x14ac:dyDescent="0.2"/>
    <row r="516" spans="2:11" x14ac:dyDescent="0.2"/>
    <row r="517" spans="2:11" x14ac:dyDescent="0.2"/>
    <row r="518" spans="2:11" x14ac:dyDescent="0.2"/>
    <row r="519" spans="2:11" x14ac:dyDescent="0.2">
      <c r="C519" s="12">
        <f>G512</f>
        <v>0.31183093536840378</v>
      </c>
      <c r="D519" s="6" t="str">
        <f>IF(C519&lt;=E519,"≤","&gt;")</f>
        <v>≤</v>
      </c>
      <c r="E519" s="12">
        <f>G154</f>
        <v>1.5007999999999999</v>
      </c>
      <c r="F519" s="45" t="str">
        <f>IF(C519&lt;E519,"Verifica soddisfatta","Verifica non soddisfatta")</f>
        <v>Verifica soddisfatta</v>
      </c>
      <c r="I519" s="1">
        <f>C519/E519</f>
        <v>0.20777647612500252</v>
      </c>
    </row>
    <row r="520" spans="2:11" x14ac:dyDescent="0.2">
      <c r="B520" s="1" t="s">
        <v>408</v>
      </c>
    </row>
    <row r="521" spans="2:11" x14ac:dyDescent="0.2"/>
    <row r="522" spans="2:11" x14ac:dyDescent="0.2"/>
    <row r="523" spans="2:11" x14ac:dyDescent="0.2"/>
    <row r="524" spans="2:11" x14ac:dyDescent="0.2">
      <c r="F524" s="6" t="s">
        <v>7</v>
      </c>
      <c r="G524" s="107">
        <f>IF(F105="3 strati",D155/G303*EJeff!C14*(G300+G188/2-EJeff!C14/2)*G240*1000,IF(F105="5 strati",D155/G303*(EJeff!C13*(G300+G188/2-EJeff!C13/2)+EJeff!C15*(G300+G188/2-EJeff!C15/2))*G240*1000,IF(F105="7 strati",D155/G303*(EJeff!C12*(G300+G188/2-EJeff!C12/2)+EJeff!C14*(G300+G188/2-EJeff!C14/2)+EJeff!C16*(G300+G188/2-EJeff!C16/2))*G240*1000,"contattare ufficio tecnico")))</f>
        <v>0.15591546768420192</v>
      </c>
      <c r="H524" s="6" t="s">
        <v>141</v>
      </c>
    </row>
    <row r="525" spans="2:11" x14ac:dyDescent="0.2">
      <c r="K525" s="10" t="s">
        <v>335</v>
      </c>
    </row>
    <row r="526" spans="2:11" x14ac:dyDescent="0.2"/>
    <row r="527" spans="2:11" x14ac:dyDescent="0.2"/>
    <row r="528" spans="2:11" x14ac:dyDescent="0.2"/>
    <row r="529" spans="1:9" x14ac:dyDescent="0.2"/>
    <row r="530" spans="1:9" x14ac:dyDescent="0.2"/>
    <row r="531" spans="1:9" x14ac:dyDescent="0.2">
      <c r="C531" s="12">
        <f>G524</f>
        <v>0.15591546768420192</v>
      </c>
      <c r="D531" s="6" t="str">
        <f>IF(C531&lt;=E531,"≤","&gt;")</f>
        <v>≤</v>
      </c>
      <c r="E531" s="12">
        <f>G155</f>
        <v>0.67199999999999993</v>
      </c>
      <c r="F531" s="45" t="str">
        <f>IF(C531&lt;E531,"Verifica soddisfatta","Verifica non soddisfatta")</f>
        <v>Verifica soddisfatta</v>
      </c>
      <c r="I531" s="1">
        <f>C531/E531</f>
        <v>0.23201706500625288</v>
      </c>
    </row>
    <row r="532" spans="1:9" x14ac:dyDescent="0.2">
      <c r="C532" s="12"/>
      <c r="D532" s="6"/>
      <c r="E532" s="12"/>
      <c r="F532" s="45"/>
    </row>
    <row r="533" spans="1:9" x14ac:dyDescent="0.2">
      <c r="C533" s="12"/>
      <c r="D533" s="6"/>
      <c r="E533" s="12"/>
      <c r="F533" s="45"/>
    </row>
    <row r="534" spans="1:9" x14ac:dyDescent="0.2">
      <c r="C534" s="12"/>
      <c r="D534" s="6"/>
      <c r="E534" s="12"/>
      <c r="F534" s="45"/>
    </row>
    <row r="535" spans="1:9" x14ac:dyDescent="0.2">
      <c r="C535" s="12"/>
      <c r="D535" s="6"/>
      <c r="E535" s="12"/>
      <c r="F535" s="45"/>
    </row>
    <row r="536" spans="1:9" ht="15" x14ac:dyDescent="0.2">
      <c r="A536" s="400" t="s">
        <v>145</v>
      </c>
      <c r="B536" s="400"/>
      <c r="C536" s="400"/>
      <c r="D536" s="400"/>
      <c r="E536" s="400"/>
      <c r="F536" s="400"/>
    </row>
    <row r="537" spans="1:9" x14ac:dyDescent="0.2">
      <c r="F537" s="6"/>
    </row>
    <row r="538" spans="1:9" x14ac:dyDescent="0.2">
      <c r="A538" s="1" t="s">
        <v>146</v>
      </c>
      <c r="F538" s="6"/>
    </row>
    <row r="539" spans="1:9" x14ac:dyDescent="0.2"/>
    <row r="540" spans="1:9" x14ac:dyDescent="0.2">
      <c r="F540" s="6" t="s">
        <v>7</v>
      </c>
      <c r="G540" s="65">
        <f>1*G263*G294/G303*G239*10^3</f>
        <v>67.07516972662242</v>
      </c>
      <c r="H540" s="6" t="s">
        <v>101</v>
      </c>
    </row>
    <row r="541" spans="1:9" x14ac:dyDescent="0.2">
      <c r="F541" s="6"/>
      <c r="G541" s="72"/>
      <c r="H541" s="6"/>
    </row>
    <row r="542" spans="1:9" x14ac:dyDescent="0.2"/>
    <row r="543" spans="1:9" x14ac:dyDescent="0.2">
      <c r="B543" s="1" t="s">
        <v>147</v>
      </c>
    </row>
    <row r="544" spans="1:9" x14ac:dyDescent="0.2"/>
    <row r="545" spans="2:8" x14ac:dyDescent="0.2"/>
    <row r="546" spans="2:8" x14ac:dyDescent="0.2">
      <c r="F546" s="6" t="s">
        <v>7</v>
      </c>
      <c r="G546" s="65">
        <f>G260/G303*G239</f>
        <v>11.120203229806862</v>
      </c>
      <c r="H546" s="6" t="s">
        <v>100</v>
      </c>
    </row>
    <row r="547" spans="2:8" x14ac:dyDescent="0.2"/>
    <row r="548" spans="2:8" x14ac:dyDescent="0.2"/>
    <row r="549" spans="2:8" x14ac:dyDescent="0.2">
      <c r="B549" s="1" t="s">
        <v>140</v>
      </c>
    </row>
    <row r="550" spans="2:8" x14ac:dyDescent="0.2"/>
    <row r="551" spans="2:8" x14ac:dyDescent="0.2"/>
    <row r="552" spans="2:8" x14ac:dyDescent="0.2">
      <c r="F552" s="6" t="s">
        <v>7</v>
      </c>
      <c r="G552" s="12">
        <f>G540*1000/G191/G192</f>
        <v>1.7198761468364725</v>
      </c>
      <c r="H552" s="6" t="s">
        <v>141</v>
      </c>
    </row>
    <row r="553" spans="2:8" x14ac:dyDescent="0.2">
      <c r="F553" s="70"/>
    </row>
    <row r="554" spans="2:8" x14ac:dyDescent="0.2">
      <c r="F554" s="70"/>
    </row>
    <row r="555" spans="2:8" x14ac:dyDescent="0.2">
      <c r="F555" s="6" t="s">
        <v>7</v>
      </c>
      <c r="G555" s="12">
        <f>G546*10^6*6/G192/G191^2</f>
        <v>6.5800019111283197</v>
      </c>
      <c r="H555" s="6" t="s">
        <v>141</v>
      </c>
    </row>
    <row r="556" spans="2:8" x14ac:dyDescent="0.2"/>
    <row r="557" spans="2:8" x14ac:dyDescent="0.2"/>
    <row r="558" spans="2:8" x14ac:dyDescent="0.2">
      <c r="B558" s="399" t="s">
        <v>142</v>
      </c>
      <c r="C558" s="399"/>
      <c r="D558" s="399"/>
      <c r="E558" s="399"/>
      <c r="F558" s="399"/>
      <c r="G558" s="399"/>
    </row>
    <row r="559" spans="2:8" x14ac:dyDescent="0.2">
      <c r="B559" s="46"/>
      <c r="C559" s="46"/>
      <c r="D559" s="46"/>
      <c r="E559" s="46"/>
      <c r="F559" s="46"/>
      <c r="G559" s="46"/>
    </row>
    <row r="560" spans="2:8" x14ac:dyDescent="0.2">
      <c r="B560" s="45" t="s">
        <v>148</v>
      </c>
      <c r="C560" s="46"/>
      <c r="D560" s="46"/>
      <c r="E560" s="46"/>
      <c r="F560" s="46"/>
      <c r="G560" s="46"/>
    </row>
    <row r="561" spans="2:8" x14ac:dyDescent="0.2"/>
    <row r="562" spans="2:8" x14ac:dyDescent="0.2">
      <c r="E562" s="12">
        <f>G552/G174+G555/G173</f>
        <v>0.64954219454418982</v>
      </c>
      <c r="F562" s="6" t="str">
        <f>IF(E562&lt;=G562,"≤","&gt;")</f>
        <v>≤</v>
      </c>
      <c r="G562" s="6">
        <v>1</v>
      </c>
      <c r="H562" s="45" t="str">
        <f>IF(E562&lt;G562,"Verifica soddisfatta","Verifica non soddisfatta")</f>
        <v>Verifica soddisfatta</v>
      </c>
    </row>
    <row r="563" spans="2:8" x14ac:dyDescent="0.2">
      <c r="B563" s="12"/>
      <c r="C563" s="6"/>
      <c r="D563" s="12"/>
      <c r="F563" s="6"/>
    </row>
    <row r="564" spans="2:8" x14ac:dyDescent="0.2">
      <c r="D564" s="65"/>
      <c r="E564" s="6"/>
      <c r="F564" s="6"/>
    </row>
    <row r="565" spans="2:8" x14ac:dyDescent="0.2">
      <c r="B565" s="12"/>
      <c r="D565" s="65"/>
      <c r="E565" s="6"/>
      <c r="F565" s="6"/>
    </row>
    <row r="566" spans="2:8" x14ac:dyDescent="0.2">
      <c r="B566" s="1" t="s">
        <v>144</v>
      </c>
    </row>
    <row r="567" spans="2:8" x14ac:dyDescent="0.2">
      <c r="G567" s="110">
        <f>$D$179*(0.5*$G$191+$G$294)^2*$G$240*1000/$G$303</f>
        <v>0.9073388297831515</v>
      </c>
    </row>
    <row r="568" spans="2:8" x14ac:dyDescent="0.2"/>
    <row r="569" spans="2:8" x14ac:dyDescent="0.2"/>
    <row r="570" spans="2:8" x14ac:dyDescent="0.2">
      <c r="F570" s="6" t="s">
        <v>7</v>
      </c>
      <c r="G570" s="12">
        <f>IF($G$294&gt;=0.5*$G$191,$G$191*$D$179*$G$294*1000*$G$240/$G$303,$D$179/2*(0.5*$G$191+$G$294)^2*$G$240*1000/$G$303)</f>
        <v>0.45366941489157575</v>
      </c>
      <c r="H570" s="6" t="s">
        <v>141</v>
      </c>
    </row>
    <row r="571" spans="2:8" x14ac:dyDescent="0.2"/>
    <row r="572" spans="2:8" x14ac:dyDescent="0.2"/>
    <row r="573" spans="2:8" x14ac:dyDescent="0.2"/>
    <row r="574" spans="2:8" x14ac:dyDescent="0.2"/>
    <row r="575" spans="2:8" x14ac:dyDescent="0.2"/>
    <row r="576" spans="2:8" x14ac:dyDescent="0.2"/>
    <row r="577" spans="2:8" x14ac:dyDescent="0.2">
      <c r="E577" s="12">
        <f>G570</f>
        <v>0.45366941489157575</v>
      </c>
      <c r="F577" s="6" t="str">
        <f>IF(E577&lt;=G577,"≤","&gt;")</f>
        <v>≤</v>
      </c>
      <c r="G577" s="12">
        <f>G178</f>
        <v>1.3131999999999999</v>
      </c>
      <c r="H577" s="45" t="str">
        <f>IF(E577&lt;G577,"Verifica soddisfatta","Verifica non soddisfatta")</f>
        <v>Verifica soddisfatta</v>
      </c>
    </row>
    <row r="578" spans="2:8" ht="15" x14ac:dyDescent="0.2">
      <c r="B578" s="400" t="s">
        <v>149</v>
      </c>
      <c r="C578" s="400"/>
      <c r="D578" s="400"/>
      <c r="E578" s="400"/>
      <c r="F578" s="400"/>
      <c r="G578" s="400"/>
    </row>
    <row r="579" spans="2:8" x14ac:dyDescent="0.2"/>
    <row r="580" spans="2:8" x14ac:dyDescent="0.2">
      <c r="B580" s="1" t="s">
        <v>150</v>
      </c>
    </row>
    <row r="581" spans="2:8" x14ac:dyDescent="0.2"/>
    <row r="582" spans="2:8" x14ac:dyDescent="0.2"/>
    <row r="583" spans="2:8" x14ac:dyDescent="0.2">
      <c r="F583" s="6" t="s">
        <v>7</v>
      </c>
      <c r="G583" s="64">
        <f>G290*G255*G300*G201/G303*G240</f>
        <v>44.716779817748275</v>
      </c>
      <c r="H583" s="6" t="s">
        <v>101</v>
      </c>
    </row>
    <row r="584" spans="2:8" x14ac:dyDescent="0.2">
      <c r="F584" s="6"/>
      <c r="H584" s="6"/>
    </row>
    <row r="585" spans="2:8" x14ac:dyDescent="0.2">
      <c r="F585" s="6"/>
      <c r="H585" s="6"/>
    </row>
    <row r="586" spans="2:8" x14ac:dyDescent="0.2">
      <c r="B586" s="1" t="s">
        <v>151</v>
      </c>
      <c r="F586" s="6"/>
      <c r="H586" s="6"/>
    </row>
    <row r="587" spans="2:8" x14ac:dyDescent="0.2">
      <c r="F587" s="6"/>
      <c r="H587" s="6"/>
    </row>
    <row r="588" spans="2:8" ht="15.75" x14ac:dyDescent="0.25">
      <c r="E588" s="5"/>
      <c r="F588" s="6" t="s">
        <v>7</v>
      </c>
      <c r="G588" s="12">
        <f>G214/1000</f>
        <v>79.474773977424903</v>
      </c>
      <c r="H588" s="6" t="s">
        <v>101</v>
      </c>
    </row>
    <row r="589" spans="2:8" x14ac:dyDescent="0.2">
      <c r="F589" s="6"/>
      <c r="H589" s="6"/>
    </row>
    <row r="590" spans="2:8" x14ac:dyDescent="0.2">
      <c r="F590" s="6"/>
      <c r="H590" s="6"/>
    </row>
    <row r="591" spans="2:8" x14ac:dyDescent="0.2">
      <c r="B591" s="1" t="s">
        <v>427</v>
      </c>
      <c r="F591" s="6"/>
      <c r="H591" s="6"/>
    </row>
    <row r="592" spans="2:8" x14ac:dyDescent="0.2">
      <c r="B592" s="1" t="s">
        <v>428</v>
      </c>
      <c r="C592" s="1" t="s">
        <v>7</v>
      </c>
      <c r="D592" s="1">
        <f>G583*1000/G210</f>
        <v>0.27926170065728823</v>
      </c>
      <c r="F592" s="6"/>
      <c r="H592" s="6"/>
    </row>
    <row r="593" spans="2:9" x14ac:dyDescent="0.2">
      <c r="F593" s="6"/>
      <c r="G593" s="65"/>
      <c r="H593" s="6"/>
    </row>
    <row r="594" spans="2:9" x14ac:dyDescent="0.2"/>
    <row r="595" spans="2:9" x14ac:dyDescent="0.2"/>
    <row r="596" spans="2:9" x14ac:dyDescent="0.2">
      <c r="B596" s="399" t="s">
        <v>152</v>
      </c>
      <c r="C596" s="399"/>
      <c r="D596" s="399"/>
      <c r="E596" s="399"/>
      <c r="F596" s="399"/>
      <c r="G596" s="399"/>
    </row>
    <row r="597" spans="2:9" x14ac:dyDescent="0.2"/>
    <row r="598" spans="2:9" x14ac:dyDescent="0.2"/>
    <row r="599" spans="2:9" x14ac:dyDescent="0.2"/>
    <row r="600" spans="2:9" x14ac:dyDescent="0.2"/>
    <row r="601" spans="2:9" x14ac:dyDescent="0.2">
      <c r="E601" s="65">
        <f>G583</f>
        <v>44.716779817748275</v>
      </c>
      <c r="F601" s="6" t="str">
        <f>IF(E601&lt;=G601,"≤","&gt;")</f>
        <v>≤</v>
      </c>
      <c r="G601" s="12">
        <f>G588</f>
        <v>79.474773977424903</v>
      </c>
      <c r="H601" s="45" t="str">
        <f>IF(E601&lt;G601,"Verifica soddisfatta","Verifica non soddisfatta")</f>
        <v>Verifica soddisfatta</v>
      </c>
    </row>
    <row r="602" spans="2:9" x14ac:dyDescent="0.2"/>
    <row r="603" spans="2:9" x14ac:dyDescent="0.2"/>
    <row r="604" spans="2:9" x14ac:dyDescent="0.2"/>
    <row r="605" spans="2:9" ht="15.75" x14ac:dyDescent="0.2">
      <c r="B605" s="379" t="s">
        <v>242</v>
      </c>
      <c r="C605" s="380"/>
      <c r="D605" s="380"/>
      <c r="E605" s="380"/>
      <c r="F605" s="380"/>
      <c r="G605" s="380"/>
      <c r="H605" s="381"/>
      <c r="I605" s="2"/>
    </row>
    <row r="606" spans="2:9" ht="15.75" x14ac:dyDescent="0.2">
      <c r="B606" s="2"/>
      <c r="C606" s="2"/>
      <c r="D606" s="2"/>
      <c r="E606" s="2"/>
      <c r="F606" s="2"/>
      <c r="G606" s="2"/>
      <c r="H606" s="2"/>
      <c r="I606" s="2"/>
    </row>
    <row r="607" spans="2:9" ht="15" x14ac:dyDescent="0.2">
      <c r="B607" s="400" t="s">
        <v>137</v>
      </c>
      <c r="C607" s="400"/>
      <c r="D607" s="400"/>
      <c r="E607" s="400"/>
      <c r="F607" s="400"/>
      <c r="G607" s="400"/>
    </row>
    <row r="608" spans="2:9" ht="15.75" x14ac:dyDescent="0.25">
      <c r="B608" s="85"/>
      <c r="C608" s="85"/>
      <c r="D608" s="85"/>
      <c r="E608" s="85"/>
      <c r="F608" s="85"/>
      <c r="G608" s="85"/>
    </row>
    <row r="609" spans="2:8" x14ac:dyDescent="0.2">
      <c r="B609" s="1" t="s">
        <v>138</v>
      </c>
    </row>
    <row r="610" spans="2:8" x14ac:dyDescent="0.2"/>
    <row r="611" spans="2:8" x14ac:dyDescent="0.2"/>
    <row r="612" spans="2:8" x14ac:dyDescent="0.2">
      <c r="F612" s="6" t="s">
        <v>7</v>
      </c>
      <c r="G612" s="47">
        <f>$G$376*$G$346*$G$382/$G$384*$G$243*10^6</f>
        <v>35510.383972917734</v>
      </c>
      <c r="H612" s="6" t="s">
        <v>4</v>
      </c>
    </row>
    <row r="613" spans="2:8" x14ac:dyDescent="0.2">
      <c r="F613" s="6"/>
      <c r="G613" s="47"/>
      <c r="H613" s="6"/>
    </row>
    <row r="614" spans="2:8" x14ac:dyDescent="0.2"/>
    <row r="615" spans="2:8" x14ac:dyDescent="0.2">
      <c r="B615" s="1" t="s">
        <v>139</v>
      </c>
    </row>
    <row r="616" spans="2:8" x14ac:dyDescent="0.2"/>
    <row r="617" spans="2:8" x14ac:dyDescent="0.2"/>
    <row r="618" spans="2:8" x14ac:dyDescent="0.2">
      <c r="F618" s="6" t="s">
        <v>7</v>
      </c>
      <c r="G618" s="47">
        <f>$G$344/$G$384*$G$243*10^6</f>
        <v>226068.30882388452</v>
      </c>
      <c r="H618" s="6" t="s">
        <v>153</v>
      </c>
    </row>
    <row r="619" spans="2:8" x14ac:dyDescent="0.2"/>
    <row r="620" spans="2:8" x14ac:dyDescent="0.2"/>
    <row r="621" spans="2:8" x14ac:dyDescent="0.2">
      <c r="B621" s="1" t="s">
        <v>140</v>
      </c>
    </row>
    <row r="622" spans="2:8" x14ac:dyDescent="0.2"/>
    <row r="623" spans="2:8" x14ac:dyDescent="0.2">
      <c r="F623" s="6" t="s">
        <v>7</v>
      </c>
      <c r="G623" s="12">
        <f>G612/F107</f>
        <v>2.8182844422950581</v>
      </c>
      <c r="H623" s="6" t="s">
        <v>141</v>
      </c>
    </row>
    <row r="624" spans="2:8" x14ac:dyDescent="0.2">
      <c r="F624" s="70"/>
    </row>
    <row r="625" spans="2:10" x14ac:dyDescent="0.2">
      <c r="F625" s="70"/>
    </row>
    <row r="626" spans="2:10" x14ac:dyDescent="0.2">
      <c r="F626" s="6" t="s">
        <v>7</v>
      </c>
      <c r="G626" s="12">
        <f>G618*$G$188/2/F106</f>
        <v>1.0252531012421067</v>
      </c>
      <c r="H626" s="6" t="s">
        <v>141</v>
      </c>
    </row>
    <row r="627" spans="2:10" x14ac:dyDescent="0.2"/>
    <row r="628" spans="2:10" x14ac:dyDescent="0.2">
      <c r="B628" s="399" t="s">
        <v>142</v>
      </c>
      <c r="C628" s="399"/>
      <c r="D628" s="399"/>
      <c r="E628" s="399"/>
      <c r="F628" s="399"/>
      <c r="G628" s="399"/>
    </row>
    <row r="629" spans="2:10" x14ac:dyDescent="0.2">
      <c r="B629" s="46"/>
      <c r="C629" s="46"/>
      <c r="D629" s="46"/>
      <c r="E629" s="46"/>
      <c r="F629" s="46"/>
      <c r="G629" s="46"/>
    </row>
    <row r="630" spans="2:10" x14ac:dyDescent="0.2">
      <c r="B630" s="45" t="s">
        <v>154</v>
      </c>
      <c r="C630" s="46"/>
      <c r="D630" s="46"/>
      <c r="E630" s="46"/>
      <c r="F630" s="46"/>
      <c r="G630" s="46"/>
    </row>
    <row r="631" spans="2:10" x14ac:dyDescent="0.2"/>
    <row r="632" spans="2:10" x14ac:dyDescent="0.2">
      <c r="E632" s="83">
        <f>G623/$I$152+G626/$I$149</f>
        <v>0.36858937558352195</v>
      </c>
      <c r="F632" s="6" t="str">
        <f>IF(E632&lt;=G632,"≤","&gt;")</f>
        <v>≤</v>
      </c>
      <c r="G632" s="6">
        <v>1</v>
      </c>
      <c r="H632" s="45" t="str">
        <f>IF(E632&lt;G632,"Verifica soddisfatta","Verifica non soddisfatta")</f>
        <v>Verifica soddisfatta</v>
      </c>
    </row>
    <row r="633" spans="2:10" x14ac:dyDescent="0.2">
      <c r="B633" s="12"/>
      <c r="C633" s="6"/>
      <c r="D633" s="12"/>
      <c r="F633" s="6"/>
    </row>
    <row r="634" spans="2:10" x14ac:dyDescent="0.2"/>
    <row r="635" spans="2:10" x14ac:dyDescent="0.2"/>
    <row r="636" spans="2:10" x14ac:dyDescent="0.2">
      <c r="B636" s="1" t="s">
        <v>144</v>
      </c>
    </row>
    <row r="637" spans="2:10" x14ac:dyDescent="0.2"/>
    <row r="638" spans="2:10" x14ac:dyDescent="0.2"/>
    <row r="639" spans="2:10" x14ac:dyDescent="0.2">
      <c r="J639" s="96"/>
    </row>
    <row r="640" spans="2:10" x14ac:dyDescent="0.2">
      <c r="F640" s="6" t="s">
        <v>7</v>
      </c>
      <c r="G640" s="83" t="e">
        <f>IF(F105="3 strati",G318/G384*((#REF!*(G382+G188/2-#REF!/2))+#REF!*(G382+G188/2-#REF!/2))*G244*1000,IF(F105="5 strati",G318/G384*(#REF!*(G382+G188/2-#REF!/2)+#REF!*(G382+G188/2-#REF!/2)+#REF!*(G382+G188/2-#REF!/2))*G244*1000,IF(F105="7 strati",G318/G384*(#REF!*(G382+G188/2-#REF!/2)+#REF!*(G382+G188/2-#REF!/2)+#REF!*(G382+G188/2-#REF!/2)+#REF!*(G382+G188/2-#REF!/2))*G244*1000,"errore troppi strati")))</f>
        <v>#REF!</v>
      </c>
      <c r="H640" s="6" t="s">
        <v>141</v>
      </c>
    </row>
    <row r="641" spans="2:6" x14ac:dyDescent="0.2"/>
    <row r="642" spans="2:6" x14ac:dyDescent="0.2"/>
    <row r="643" spans="2:6" x14ac:dyDescent="0.2"/>
    <row r="644" spans="2:6" x14ac:dyDescent="0.2"/>
    <row r="645" spans="2:6" x14ac:dyDescent="0.2"/>
    <row r="646" spans="2:6" x14ac:dyDescent="0.2"/>
    <row r="647" spans="2:6" x14ac:dyDescent="0.2"/>
    <row r="648" spans="2:6" x14ac:dyDescent="0.2"/>
    <row r="649" spans="2:6" x14ac:dyDescent="0.2"/>
    <row r="650" spans="2:6" x14ac:dyDescent="0.2">
      <c r="C650" s="12" t="e">
        <f>G640</f>
        <v>#REF!</v>
      </c>
      <c r="D650" s="6" t="e">
        <f>IF(C650&lt;=E650,"≤","&gt;")</f>
        <v>#REF!</v>
      </c>
      <c r="E650" s="12">
        <f>$I$154</f>
        <v>1.2864</v>
      </c>
      <c r="F650" s="45" t="e">
        <f>IF(C650&lt;E650,"Verifica soddisfatta","Verifica non soddisfatta")</f>
        <v>#REF!</v>
      </c>
    </row>
    <row r="651" spans="2:6" x14ac:dyDescent="0.2">
      <c r="C651" s="12"/>
      <c r="D651" s="6"/>
      <c r="E651" s="12"/>
      <c r="F651" s="45"/>
    </row>
    <row r="652" spans="2:6" x14ac:dyDescent="0.2">
      <c r="C652" s="12"/>
      <c r="D652" s="6"/>
      <c r="E652" s="12"/>
      <c r="F652" s="45"/>
    </row>
    <row r="653" spans="2:6" x14ac:dyDescent="0.2">
      <c r="B653" s="1" t="s">
        <v>408</v>
      </c>
    </row>
    <row r="654" spans="2:6" x14ac:dyDescent="0.2"/>
    <row r="655" spans="2:6" x14ac:dyDescent="0.2"/>
    <row r="656" spans="2:6" x14ac:dyDescent="0.2"/>
    <row r="657" spans="2:11" x14ac:dyDescent="0.2">
      <c r="F657" s="6" t="s">
        <v>7</v>
      </c>
      <c r="G657" s="83" t="e">
        <f>IF(F105="3 strati",G318/G384*#REF!*(G382+G188/2-#REF!/2)*G244*1000,IF(F105="5 strati",G318/G384*(#REF!*(G382+G188/2-#REF!/2)+#REF!*(G382+G188/2-#REF!/2))*G244*1000,IF(F105="7 strati",G318/G384*(#REF!*(G382+G188/2-#REF!/2)+#REF!*(G382+G188/2-#REF!/2)+#REF!*(G382+G188/2-#REF!/2))*G244*1000,"errore troppi strati")))</f>
        <v>#REF!</v>
      </c>
      <c r="H657" s="6" t="s">
        <v>141</v>
      </c>
    </row>
    <row r="658" spans="2:11" x14ac:dyDescent="0.2">
      <c r="K658" s="10" t="s">
        <v>335</v>
      </c>
    </row>
    <row r="659" spans="2:11" x14ac:dyDescent="0.2"/>
    <row r="660" spans="2:11" x14ac:dyDescent="0.2"/>
    <row r="661" spans="2:11" x14ac:dyDescent="0.2"/>
    <row r="662" spans="2:11" x14ac:dyDescent="0.2"/>
    <row r="663" spans="2:11" x14ac:dyDescent="0.2"/>
    <row r="664" spans="2:11" x14ac:dyDescent="0.2">
      <c r="C664" s="12" t="e">
        <f>G657</f>
        <v>#REF!</v>
      </c>
      <c r="D664" s="6" t="e">
        <f>IF(C664&lt;=E664,"≤","&gt;")</f>
        <v>#REF!</v>
      </c>
      <c r="E664" s="12">
        <f>I155</f>
        <v>0.57599999999999996</v>
      </c>
      <c r="F664" s="45" t="e">
        <f>IF(C664&lt;E664,"Verifica soddisfatta","Verifica non soddisfatta")</f>
        <v>#REF!</v>
      </c>
    </row>
    <row r="665" spans="2:11" x14ac:dyDescent="0.2">
      <c r="C665" s="12"/>
      <c r="D665" s="6"/>
      <c r="E665" s="12"/>
      <c r="F665" s="45"/>
    </row>
    <row r="666" spans="2:11" x14ac:dyDescent="0.2">
      <c r="C666" s="12"/>
      <c r="D666" s="6"/>
      <c r="E666" s="12"/>
      <c r="F666" s="45"/>
    </row>
    <row r="667" spans="2:11" x14ac:dyDescent="0.2">
      <c r="C667" s="12"/>
      <c r="D667" s="6"/>
      <c r="E667" s="12"/>
      <c r="F667" s="45"/>
    </row>
    <row r="668" spans="2:11" x14ac:dyDescent="0.2">
      <c r="C668" s="12"/>
      <c r="D668" s="6"/>
      <c r="E668" s="12"/>
      <c r="F668" s="45"/>
    </row>
    <row r="669" spans="2:11" x14ac:dyDescent="0.2"/>
    <row r="670" spans="2:11" x14ac:dyDescent="0.2"/>
    <row r="671" spans="2:11" ht="15" x14ac:dyDescent="0.2">
      <c r="B671" s="400" t="s">
        <v>145</v>
      </c>
      <c r="C671" s="400"/>
      <c r="D671" s="400"/>
      <c r="E671" s="400"/>
      <c r="F671" s="400"/>
      <c r="G671" s="400"/>
    </row>
    <row r="672" spans="2:11" x14ac:dyDescent="0.2"/>
    <row r="673" spans="2:8" x14ac:dyDescent="0.2">
      <c r="B673" s="1" t="s">
        <v>146</v>
      </c>
    </row>
    <row r="674" spans="2:8" x14ac:dyDescent="0.2"/>
    <row r="675" spans="2:8" x14ac:dyDescent="0.2"/>
    <row r="676" spans="2:8" x14ac:dyDescent="0.2">
      <c r="F676" s="6" t="s">
        <v>7</v>
      </c>
      <c r="G676" s="47">
        <f>1*$G$352*$G$379/$G$384*$G$243*10^3</f>
        <v>35.510383972917737</v>
      </c>
      <c r="H676" s="6" t="s">
        <v>101</v>
      </c>
    </row>
    <row r="677" spans="2:8" x14ac:dyDescent="0.2"/>
    <row r="678" spans="2:8" x14ac:dyDescent="0.2">
      <c r="B678" s="1" t="s">
        <v>147</v>
      </c>
    </row>
    <row r="679" spans="2:8" x14ac:dyDescent="0.2"/>
    <row r="680" spans="2:8" x14ac:dyDescent="0.2"/>
    <row r="681" spans="2:8" x14ac:dyDescent="0.2">
      <c r="F681" s="6" t="s">
        <v>7</v>
      </c>
      <c r="G681" s="65">
        <f>$G$350/$G$384*$G$243</f>
        <v>5.8871664157801025</v>
      </c>
      <c r="H681" s="6" t="s">
        <v>155</v>
      </c>
    </row>
    <row r="682" spans="2:8" x14ac:dyDescent="0.2"/>
    <row r="683" spans="2:8" x14ac:dyDescent="0.2"/>
    <row r="684" spans="2:8" x14ac:dyDescent="0.2">
      <c r="B684" s="1" t="s">
        <v>140</v>
      </c>
    </row>
    <row r="685" spans="2:8" x14ac:dyDescent="0.2"/>
    <row r="686" spans="2:8" x14ac:dyDescent="0.2"/>
    <row r="687" spans="2:8" x14ac:dyDescent="0.2">
      <c r="F687" s="6" t="s">
        <v>7</v>
      </c>
      <c r="G687" s="12">
        <f>G676*1000/($G$191*$G$192)</f>
        <v>0.91052266597224962</v>
      </c>
      <c r="H687" s="6" t="s">
        <v>141</v>
      </c>
    </row>
    <row r="688" spans="2:8" x14ac:dyDescent="0.2">
      <c r="F688" s="70"/>
    </row>
    <row r="689" spans="2:8" x14ac:dyDescent="0.2">
      <c r="F689" s="70"/>
    </row>
    <row r="690" spans="2:8" x14ac:dyDescent="0.2">
      <c r="F690" s="6" t="s">
        <v>7</v>
      </c>
      <c r="G690" s="12">
        <f>10^6*G681*$G$191/(2*$G$192*$G$191^3/12)</f>
        <v>3.4835304235385225</v>
      </c>
      <c r="H690" s="6" t="s">
        <v>141</v>
      </c>
    </row>
    <row r="691" spans="2:8" x14ac:dyDescent="0.2"/>
    <row r="692" spans="2:8" x14ac:dyDescent="0.2"/>
    <row r="693" spans="2:8" x14ac:dyDescent="0.2">
      <c r="B693" s="399" t="s">
        <v>142</v>
      </c>
      <c r="C693" s="399"/>
      <c r="D693" s="399"/>
      <c r="E693" s="399"/>
      <c r="F693" s="399"/>
      <c r="G693" s="399"/>
    </row>
    <row r="694" spans="2:8" x14ac:dyDescent="0.2">
      <c r="B694" s="46"/>
      <c r="C694" s="46"/>
      <c r="D694" s="46"/>
      <c r="E694" s="46"/>
      <c r="F694" s="46"/>
      <c r="G694" s="46"/>
    </row>
    <row r="695" spans="2:8" x14ac:dyDescent="0.2">
      <c r="B695" s="45" t="s">
        <v>154</v>
      </c>
      <c r="C695" s="46"/>
      <c r="D695" s="46"/>
      <c r="E695" s="46"/>
      <c r="F695" s="46"/>
      <c r="G695" s="46"/>
    </row>
    <row r="696" spans="2:8" x14ac:dyDescent="0.2"/>
    <row r="697" spans="2:8" x14ac:dyDescent="0.2">
      <c r="E697" s="12">
        <f>G687/$I$174+G690/$I$173</f>
        <v>0.40118782604199954</v>
      </c>
      <c r="F697" s="6" t="str">
        <f>IF(E697&lt;=G697,"≤","&gt;")</f>
        <v>≤</v>
      </c>
      <c r="G697" s="6">
        <v>1</v>
      </c>
      <c r="H697" s="45" t="str">
        <f>IF(E697&lt;G697,"Verifica soddisfatta","Verifica non soddisfatta")</f>
        <v>Verifica soddisfatta</v>
      </c>
    </row>
    <row r="698" spans="2:8" x14ac:dyDescent="0.2">
      <c r="B698" s="12"/>
      <c r="C698" s="6"/>
      <c r="D698" s="12"/>
      <c r="F698" s="6"/>
    </row>
    <row r="699" spans="2:8" x14ac:dyDescent="0.2"/>
    <row r="700" spans="2:8" x14ac:dyDescent="0.2">
      <c r="F700" s="6"/>
    </row>
    <row r="701" spans="2:8" x14ac:dyDescent="0.2">
      <c r="D701" s="65"/>
      <c r="E701" s="6"/>
      <c r="F701" s="6"/>
    </row>
    <row r="702" spans="2:8" x14ac:dyDescent="0.2">
      <c r="B702" s="1" t="s">
        <v>144</v>
      </c>
      <c r="D702" s="65"/>
      <c r="E702" s="6"/>
      <c r="F702" s="6"/>
    </row>
    <row r="703" spans="2:8" x14ac:dyDescent="0.2"/>
    <row r="704" spans="2:8" x14ac:dyDescent="0.2"/>
    <row r="705" spans="2:8" x14ac:dyDescent="0.2"/>
    <row r="706" spans="2:8" x14ac:dyDescent="0.2">
      <c r="E706" s="12"/>
      <c r="F706" s="6" t="s">
        <v>7</v>
      </c>
      <c r="G706" s="12">
        <f>IF($G$379&gt;=0.5*$G$191,$G$191*$G$327*$G$379*$G$244*1000/$G$384,0.5*$G$327*(0.5*$G$191+$G$379)^2*$G$244*1000/$G$384)</f>
        <v>0.24017792553083414</v>
      </c>
      <c r="H706" s="6" t="s">
        <v>141</v>
      </c>
    </row>
    <row r="707" spans="2:8" x14ac:dyDescent="0.2"/>
    <row r="708" spans="2:8" x14ac:dyDescent="0.2"/>
    <row r="709" spans="2:8" x14ac:dyDescent="0.2"/>
    <row r="710" spans="2:8" x14ac:dyDescent="0.2"/>
    <row r="711" spans="2:8" x14ac:dyDescent="0.2"/>
    <row r="712" spans="2:8" x14ac:dyDescent="0.2"/>
    <row r="713" spans="2:8" x14ac:dyDescent="0.2">
      <c r="C713" s="12">
        <f>G706</f>
        <v>0.24017792553083414</v>
      </c>
      <c r="D713" s="6" t="str">
        <f>IF(C713&lt;=E713,"≤","&gt;")</f>
        <v>≤</v>
      </c>
      <c r="E713" s="12">
        <f>$I$178</f>
        <v>1.1256000000000002</v>
      </c>
      <c r="F713" s="45" t="str">
        <f>IF(C713&lt;E713,"Verifica soddisfatta","Verifica non soddisfatta")</f>
        <v>Verifica soddisfatta</v>
      </c>
    </row>
    <row r="714" spans="2:8" x14ac:dyDescent="0.2"/>
    <row r="715" spans="2:8" ht="15" x14ac:dyDescent="0.2">
      <c r="B715" s="400" t="s">
        <v>149</v>
      </c>
      <c r="C715" s="400"/>
      <c r="D715" s="400"/>
      <c r="E715" s="400"/>
      <c r="F715" s="400"/>
      <c r="G715" s="400"/>
    </row>
    <row r="716" spans="2:8" x14ac:dyDescent="0.2"/>
    <row r="717" spans="2:8" x14ac:dyDescent="0.2">
      <c r="B717" s="1" t="s">
        <v>150</v>
      </c>
    </row>
    <row r="718" spans="2:8" x14ac:dyDescent="0.2"/>
    <row r="719" spans="2:8" x14ac:dyDescent="0.2"/>
    <row r="720" spans="2:8" x14ac:dyDescent="0.2">
      <c r="F720" s="6" t="s">
        <v>7</v>
      </c>
      <c r="G720" s="83">
        <f>$G$346*$G$376*$G$382*$G$201*$G$244/$G$384</f>
        <v>23.673589315278495</v>
      </c>
      <c r="H720" s="6" t="s">
        <v>101</v>
      </c>
    </row>
    <row r="721" spans="2:8" x14ac:dyDescent="0.2">
      <c r="F721" s="6"/>
      <c r="H721" s="6"/>
    </row>
    <row r="722" spans="2:8" x14ac:dyDescent="0.2">
      <c r="F722" s="6"/>
      <c r="H722" s="6"/>
    </row>
    <row r="723" spans="2:8" x14ac:dyDescent="0.2">
      <c r="F723" s="6"/>
      <c r="H723" s="6"/>
    </row>
    <row r="724" spans="2:8" x14ac:dyDescent="0.2">
      <c r="B724" s="1" t="s">
        <v>151</v>
      </c>
      <c r="F724" s="6"/>
      <c r="H724" s="6"/>
    </row>
    <row r="725" spans="2:8" x14ac:dyDescent="0.2">
      <c r="F725" s="6"/>
      <c r="H725" s="6"/>
    </row>
    <row r="726" spans="2:8" ht="15.75" x14ac:dyDescent="0.25">
      <c r="E726" s="4"/>
      <c r="F726" s="6" t="s">
        <v>7</v>
      </c>
      <c r="G726" s="12">
        <f>$G$212/1000</f>
        <v>68.121234837792784</v>
      </c>
      <c r="H726" s="6" t="s">
        <v>101</v>
      </c>
    </row>
    <row r="727" spans="2:8" x14ac:dyDescent="0.2">
      <c r="F727" s="6"/>
      <c r="H727" s="6"/>
    </row>
    <row r="728" spans="2:8" x14ac:dyDescent="0.2">
      <c r="F728" s="6"/>
      <c r="H728" s="6"/>
    </row>
    <row r="729" spans="2:8" x14ac:dyDescent="0.2">
      <c r="B729" s="1" t="s">
        <v>427</v>
      </c>
      <c r="F729" s="6"/>
      <c r="H729" s="6"/>
    </row>
    <row r="730" spans="2:8" x14ac:dyDescent="0.2">
      <c r="B730" s="1" t="s">
        <v>428</v>
      </c>
      <c r="C730" s="1" t="s">
        <v>7</v>
      </c>
      <c r="D730" s="1">
        <f>G720*1000/G336</f>
        <v>0.24985708629396194</v>
      </c>
      <c r="F730" s="6"/>
      <c r="H730" s="6"/>
    </row>
    <row r="731" spans="2:8" x14ac:dyDescent="0.2">
      <c r="F731" s="6"/>
      <c r="G731" s="65"/>
      <c r="H731" s="6"/>
    </row>
    <row r="732" spans="2:8" x14ac:dyDescent="0.2"/>
    <row r="733" spans="2:8" x14ac:dyDescent="0.2"/>
    <row r="734" spans="2:8" x14ac:dyDescent="0.2">
      <c r="B734" s="399" t="s">
        <v>152</v>
      </c>
      <c r="C734" s="399"/>
      <c r="D734" s="399"/>
      <c r="E734" s="399"/>
      <c r="F734" s="399"/>
      <c r="G734" s="399"/>
    </row>
    <row r="735" spans="2:8" x14ac:dyDescent="0.2"/>
    <row r="736" spans="2:8" x14ac:dyDescent="0.2"/>
    <row r="737" spans="2:9" x14ac:dyDescent="0.2"/>
    <row r="738" spans="2:9" x14ac:dyDescent="0.2"/>
    <row r="739" spans="2:9" ht="15.75" x14ac:dyDescent="0.2">
      <c r="E739" s="65">
        <f>G720</f>
        <v>23.673589315278495</v>
      </c>
      <c r="F739" s="6" t="str">
        <f>IF(E739&lt;=G739,"≤","&gt;")</f>
        <v>≤</v>
      </c>
      <c r="G739" s="65">
        <f>G726</f>
        <v>68.121234837792784</v>
      </c>
      <c r="H739" s="45" t="str">
        <f>IF(E739&lt;=G739,"Verifica soddisfatta","Verifica non soddisfatta")</f>
        <v>Verifica soddisfatta</v>
      </c>
      <c r="I739" s="2"/>
    </row>
    <row r="740" spans="2:9" ht="15.75" x14ac:dyDescent="0.2">
      <c r="B740" s="2"/>
      <c r="C740" s="2"/>
      <c r="D740" s="2"/>
      <c r="E740" s="2"/>
      <c r="F740" s="2"/>
      <c r="G740" s="2"/>
      <c r="H740" s="2"/>
      <c r="I740" s="2"/>
    </row>
    <row r="741" spans="2:9" ht="15.75" x14ac:dyDescent="0.2">
      <c r="B741" s="379" t="s">
        <v>243</v>
      </c>
      <c r="C741" s="380"/>
      <c r="D741" s="380"/>
      <c r="E741" s="380"/>
      <c r="F741" s="380"/>
      <c r="G741" s="380"/>
      <c r="H741" s="381"/>
      <c r="I741" s="2"/>
    </row>
    <row r="742" spans="2:9" ht="15.75" x14ac:dyDescent="0.2">
      <c r="B742" s="2"/>
      <c r="C742" s="2"/>
      <c r="D742" s="2"/>
      <c r="E742" s="2"/>
      <c r="F742" s="2"/>
      <c r="G742" s="2"/>
      <c r="H742" s="2"/>
      <c r="I742" s="2"/>
    </row>
    <row r="743" spans="2:9" ht="15" x14ac:dyDescent="0.2">
      <c r="B743" s="400" t="s">
        <v>137</v>
      </c>
      <c r="C743" s="400"/>
      <c r="D743" s="400"/>
      <c r="E743" s="400"/>
      <c r="F743" s="400"/>
      <c r="G743" s="400"/>
    </row>
    <row r="744" spans="2:9" ht="15.75" x14ac:dyDescent="0.25">
      <c r="B744" s="85"/>
      <c r="C744" s="85"/>
      <c r="D744" s="85"/>
      <c r="E744" s="85"/>
      <c r="F744" s="85"/>
      <c r="G744" s="85"/>
    </row>
    <row r="745" spans="2:9" x14ac:dyDescent="0.2">
      <c r="B745" s="1" t="s">
        <v>138</v>
      </c>
    </row>
    <row r="746" spans="2:9" x14ac:dyDescent="0.2"/>
    <row r="747" spans="2:9" x14ac:dyDescent="0.2"/>
    <row r="748" spans="2:9" x14ac:dyDescent="0.2">
      <c r="F748" s="6" t="s">
        <v>7</v>
      </c>
      <c r="G748" s="64">
        <f>$G$453*$G$424*$G$459/$G$461*$G$239*10^3</f>
        <v>67.075169726622391</v>
      </c>
      <c r="H748" s="6" t="s">
        <v>101</v>
      </c>
    </row>
    <row r="749" spans="2:9" x14ac:dyDescent="0.2">
      <c r="F749" s="6"/>
      <c r="G749" s="47"/>
      <c r="H749" s="6"/>
    </row>
    <row r="750" spans="2:9" x14ac:dyDescent="0.2"/>
    <row r="751" spans="2:9" x14ac:dyDescent="0.2">
      <c r="B751" s="1" t="s">
        <v>139</v>
      </c>
    </row>
    <row r="752" spans="2:9" x14ac:dyDescent="0.2"/>
    <row r="753" spans="2:8" x14ac:dyDescent="0.2"/>
    <row r="754" spans="2:8" x14ac:dyDescent="0.2">
      <c r="F754" s="6" t="s">
        <v>7</v>
      </c>
      <c r="G754" s="64">
        <f>$G$422/$G$461*$G$239</f>
        <v>0.42701791666733746</v>
      </c>
      <c r="H754" s="6" t="s">
        <v>100</v>
      </c>
    </row>
    <row r="755" spans="2:8" x14ac:dyDescent="0.2"/>
    <row r="756" spans="2:8" x14ac:dyDescent="0.2"/>
    <row r="757" spans="2:8" x14ac:dyDescent="0.2">
      <c r="B757" s="1" t="s">
        <v>140</v>
      </c>
    </row>
    <row r="758" spans="2:8" x14ac:dyDescent="0.2"/>
    <row r="759" spans="2:8" x14ac:dyDescent="0.2"/>
    <row r="760" spans="2:8" x14ac:dyDescent="0.2">
      <c r="F760" s="6" t="s">
        <v>7</v>
      </c>
      <c r="G760" s="64">
        <f>G748*1000/F107</f>
        <v>5.3234261687795552</v>
      </c>
      <c r="H760" s="6" t="s">
        <v>141</v>
      </c>
    </row>
    <row r="761" spans="2:8" x14ac:dyDescent="0.2">
      <c r="F761" s="70"/>
    </row>
    <row r="762" spans="2:8" x14ac:dyDescent="0.2">
      <c r="F762" s="70"/>
    </row>
    <row r="763" spans="2:8" x14ac:dyDescent="0.2">
      <c r="F763" s="6" t="s">
        <v>7</v>
      </c>
      <c r="G763" s="12">
        <f>G754*G$188/2/F106*10^6</f>
        <v>1.9365891912350903</v>
      </c>
      <c r="H763" s="6" t="s">
        <v>141</v>
      </c>
    </row>
    <row r="764" spans="2:8" x14ac:dyDescent="0.2"/>
    <row r="765" spans="2:8" x14ac:dyDescent="0.2"/>
    <row r="766" spans="2:8" x14ac:dyDescent="0.2"/>
    <row r="767" spans="2:8" x14ac:dyDescent="0.2">
      <c r="B767" s="399" t="s">
        <v>142</v>
      </c>
      <c r="C767" s="399"/>
      <c r="D767" s="399"/>
      <c r="E767" s="399"/>
      <c r="F767" s="399"/>
      <c r="G767" s="399"/>
    </row>
    <row r="768" spans="2:8" x14ac:dyDescent="0.2">
      <c r="B768" s="46"/>
      <c r="C768" s="46"/>
      <c r="D768" s="46"/>
      <c r="E768" s="46"/>
      <c r="F768" s="46"/>
      <c r="G768" s="46"/>
    </row>
    <row r="769" spans="2:8" x14ac:dyDescent="0.2">
      <c r="B769" s="45" t="s">
        <v>154</v>
      </c>
      <c r="C769" s="46"/>
      <c r="D769" s="46"/>
      <c r="E769" s="46"/>
      <c r="F769" s="46"/>
      <c r="G769" s="46"/>
    </row>
    <row r="770" spans="2:8" x14ac:dyDescent="0.2"/>
    <row r="771" spans="2:8" x14ac:dyDescent="0.2">
      <c r="E771" s="64">
        <f>G760/$G$152+G763/$G$149</f>
        <v>0.59676375094474998</v>
      </c>
      <c r="F771" s="6" t="str">
        <f>IF(E771&lt;=G771,"≤","&gt;")</f>
        <v>≤</v>
      </c>
      <c r="G771" s="6">
        <v>1</v>
      </c>
      <c r="H771" s="45" t="str">
        <f>IF(E771&lt;G771,"Verifica soddisfatta","Verifica non soddisfatta")</f>
        <v>Verifica soddisfatta</v>
      </c>
    </row>
    <row r="772" spans="2:8" x14ac:dyDescent="0.2">
      <c r="B772" s="12"/>
      <c r="C772" s="6"/>
      <c r="D772" s="12"/>
      <c r="F772" s="6"/>
    </row>
    <row r="773" spans="2:8" x14ac:dyDescent="0.2"/>
    <row r="774" spans="2:8" x14ac:dyDescent="0.2">
      <c r="B774" s="12"/>
      <c r="D774" s="65"/>
      <c r="E774" s="6"/>
      <c r="F774" s="6"/>
    </row>
    <row r="775" spans="2:8" x14ac:dyDescent="0.2">
      <c r="B775" s="1" t="s">
        <v>144</v>
      </c>
    </row>
    <row r="776" spans="2:8" x14ac:dyDescent="0.2"/>
    <row r="777" spans="2:8" x14ac:dyDescent="0.2"/>
    <row r="778" spans="2:8" x14ac:dyDescent="0.2"/>
    <row r="779" spans="2:8" x14ac:dyDescent="0.2">
      <c r="F779" s="6" t="s">
        <v>7</v>
      </c>
      <c r="G779" s="83" t="e">
        <f>IF(F105="3 strati",G397/G461*(#REF!*(G459+G188/2-#REF!/2)+#REF!*(G459+G188/2-#REF!/2))*G240*1000,IF(F105="5 strati",G397/G461*(#REF!*(G459+G188/2-#REF!/2)+#REF!*(G459+G188/2-#REF!/2)+#REF!*(G459+G188/2-#REF!/2))*G240*1000,IF(F105="7 strati",G397/G461*(#REF!*(G459+G188/2-#REF!/2)+#REF!*(G459+G188/2-#REF!/2)+#REF!*(G459+G188/2-#REF!/2))*G240*1000,"troppi strati errore")))</f>
        <v>#REF!</v>
      </c>
      <c r="H779" s="6" t="s">
        <v>141</v>
      </c>
    </row>
    <row r="780" spans="2:8" x14ac:dyDescent="0.2"/>
    <row r="781" spans="2:8" x14ac:dyDescent="0.2"/>
    <row r="782" spans="2:8" x14ac:dyDescent="0.2"/>
    <row r="783" spans="2:8" x14ac:dyDescent="0.2"/>
    <row r="784" spans="2:8" x14ac:dyDescent="0.2"/>
    <row r="785" spans="2:11" x14ac:dyDescent="0.2"/>
    <row r="786" spans="2:11" x14ac:dyDescent="0.2"/>
    <row r="787" spans="2:11" x14ac:dyDescent="0.2">
      <c r="C787" s="12" t="e">
        <f>G779</f>
        <v>#REF!</v>
      </c>
      <c r="D787" s="6" t="e">
        <f>IF(C787&lt;=E787,"≤","&gt;")</f>
        <v>#REF!</v>
      </c>
      <c r="E787" s="12">
        <f>$G$154</f>
        <v>1.5007999999999999</v>
      </c>
      <c r="F787" s="45" t="e">
        <f>IF(C787&lt;E787,"Verifica soddisfatta","Verifica non soddisfatta")</f>
        <v>#REF!</v>
      </c>
    </row>
    <row r="788" spans="2:11" x14ac:dyDescent="0.2">
      <c r="C788" s="12"/>
      <c r="D788" s="6"/>
      <c r="E788" s="12"/>
      <c r="F788" s="45"/>
    </row>
    <row r="789" spans="2:11" x14ac:dyDescent="0.2">
      <c r="C789" s="12"/>
      <c r="D789" s="6"/>
      <c r="E789" s="12"/>
      <c r="F789" s="45"/>
    </row>
    <row r="790" spans="2:11" x14ac:dyDescent="0.2">
      <c r="B790" s="1" t="s">
        <v>408</v>
      </c>
    </row>
    <row r="791" spans="2:11" x14ac:dyDescent="0.2"/>
    <row r="792" spans="2:11" x14ac:dyDescent="0.2"/>
    <row r="793" spans="2:11" x14ac:dyDescent="0.2"/>
    <row r="794" spans="2:11" x14ac:dyDescent="0.2">
      <c r="F794" s="6" t="s">
        <v>7</v>
      </c>
      <c r="G794" s="107" t="e">
        <f>IF(F105="3 strati",G397/G461*#REF!*(G459+G188/2-#REF!/2)*G240*1000,IF(F105="5 strati",G397/G461*(#REF!*(G459+G188/2-#REF!/2)+#REF!*(G459+G188/2-#REF!/2))*G240*1000,IF(F105="7 strati",G397/G461*(#REF!*(G459+G188/2-#REF!/2)+#REF!*(G459+G188/2-#REF!/2)+#REF!*(G459+G188/2-#REF!/2))*G240*1000,"troppi strati errore")))</f>
        <v>#REF!</v>
      </c>
      <c r="H794" s="6" t="s">
        <v>141</v>
      </c>
    </row>
    <row r="795" spans="2:11" x14ac:dyDescent="0.2">
      <c r="K795" s="10" t="s">
        <v>335</v>
      </c>
    </row>
    <row r="796" spans="2:11" x14ac:dyDescent="0.2">
      <c r="C796" s="12" t="e">
        <f>G794</f>
        <v>#REF!</v>
      </c>
      <c r="D796" s="6" t="e">
        <f>IF(C796&lt;=E796,"≤","&gt;")</f>
        <v>#REF!</v>
      </c>
      <c r="E796" s="12">
        <f>G155</f>
        <v>0.67199999999999993</v>
      </c>
      <c r="F796" s="45" t="e">
        <f>IF(C796&lt;E796,"Verifica soddisfatta","Verifica non soddisfatta")</f>
        <v>#REF!</v>
      </c>
    </row>
    <row r="797" spans="2:11" x14ac:dyDescent="0.2">
      <c r="C797" s="12"/>
      <c r="D797" s="6"/>
      <c r="E797" s="12"/>
      <c r="F797" s="45"/>
    </row>
    <row r="798" spans="2:11" x14ac:dyDescent="0.2"/>
    <row r="799" spans="2:11" ht="15" x14ac:dyDescent="0.2">
      <c r="B799" s="400" t="s">
        <v>145</v>
      </c>
      <c r="C799" s="400"/>
      <c r="D799" s="400"/>
      <c r="E799" s="400"/>
      <c r="F799" s="400"/>
      <c r="G799" s="400"/>
    </row>
    <row r="800" spans="2:11" x14ac:dyDescent="0.2"/>
    <row r="801" spans="2:8" x14ac:dyDescent="0.2">
      <c r="B801" s="1" t="s">
        <v>146</v>
      </c>
    </row>
    <row r="802" spans="2:8" x14ac:dyDescent="0.2"/>
    <row r="803" spans="2:8" x14ac:dyDescent="0.2"/>
    <row r="804" spans="2:8" x14ac:dyDescent="0.2">
      <c r="F804" s="6" t="s">
        <v>7</v>
      </c>
      <c r="G804" s="47">
        <f>1*$G$430*$G$379/$G$461*$G$239*10^3</f>
        <v>67.075169726622406</v>
      </c>
      <c r="H804" s="6" t="s">
        <v>101</v>
      </c>
    </row>
    <row r="805" spans="2:8" x14ac:dyDescent="0.2">
      <c r="F805" s="6"/>
      <c r="G805" s="47"/>
      <c r="H805" s="6"/>
    </row>
    <row r="806" spans="2:8" x14ac:dyDescent="0.2"/>
    <row r="807" spans="2:8" x14ac:dyDescent="0.2">
      <c r="B807" s="1" t="s">
        <v>147</v>
      </c>
    </row>
    <row r="808" spans="2:8" x14ac:dyDescent="0.2"/>
    <row r="809" spans="2:8" x14ac:dyDescent="0.2"/>
    <row r="810" spans="2:8" x14ac:dyDescent="0.2">
      <c r="F810" s="6" t="s">
        <v>7</v>
      </c>
      <c r="G810" s="65">
        <f>$G$428/$G$461*$G$239</f>
        <v>11.12020322980686</v>
      </c>
      <c r="H810" s="6" t="s">
        <v>155</v>
      </c>
    </row>
    <row r="811" spans="2:8" x14ac:dyDescent="0.2"/>
    <row r="812" spans="2:8" x14ac:dyDescent="0.2"/>
    <row r="813" spans="2:8" x14ac:dyDescent="0.2">
      <c r="B813" s="1" t="s">
        <v>140</v>
      </c>
    </row>
    <row r="814" spans="2:8" x14ac:dyDescent="0.2"/>
    <row r="815" spans="2:8" x14ac:dyDescent="0.2"/>
    <row r="816" spans="2:8" x14ac:dyDescent="0.2">
      <c r="F816" s="6" t="s">
        <v>7</v>
      </c>
      <c r="G816" s="12">
        <f>G804*1000/($G$191*$G$192)</f>
        <v>1.7198761468364721</v>
      </c>
      <c r="H816" s="6" t="s">
        <v>141</v>
      </c>
    </row>
    <row r="817" spans="2:8" x14ac:dyDescent="0.2">
      <c r="F817" s="70"/>
    </row>
    <row r="818" spans="2:8" x14ac:dyDescent="0.2">
      <c r="F818" s="70"/>
    </row>
    <row r="819" spans="2:8" x14ac:dyDescent="0.2">
      <c r="F819" s="6" t="s">
        <v>7</v>
      </c>
      <c r="G819" s="12">
        <f>10^6*G810*$G$191/(2*$G$192*$G$191^3/12)</f>
        <v>6.5800019111283197</v>
      </c>
      <c r="H819" s="6" t="s">
        <v>141</v>
      </c>
    </row>
    <row r="820" spans="2:8" x14ac:dyDescent="0.2"/>
    <row r="821" spans="2:8" x14ac:dyDescent="0.2"/>
    <row r="822" spans="2:8" x14ac:dyDescent="0.2">
      <c r="B822" s="399" t="s">
        <v>142</v>
      </c>
      <c r="C822" s="399"/>
      <c r="D822" s="399"/>
      <c r="E822" s="399"/>
      <c r="F822" s="399"/>
      <c r="G822" s="399"/>
    </row>
    <row r="823" spans="2:8" x14ac:dyDescent="0.2">
      <c r="B823" s="46"/>
      <c r="C823" s="46"/>
      <c r="D823" s="46"/>
      <c r="E823" s="46"/>
      <c r="F823" s="46"/>
      <c r="G823" s="46"/>
    </row>
    <row r="824" spans="2:8" x14ac:dyDescent="0.2">
      <c r="B824" s="45" t="s">
        <v>154</v>
      </c>
      <c r="C824" s="46"/>
      <c r="D824" s="46"/>
      <c r="E824" s="46"/>
      <c r="F824" s="46"/>
      <c r="G824" s="46"/>
    </row>
    <row r="825" spans="2:8" x14ac:dyDescent="0.2"/>
    <row r="826" spans="2:8" x14ac:dyDescent="0.2">
      <c r="E826" s="12">
        <f>G816/$G$174+G819/$G$173</f>
        <v>0.64954219454418982</v>
      </c>
      <c r="F826" s="6" t="str">
        <f>IF(E826&lt;=G826,"≤","&gt;")</f>
        <v>≤</v>
      </c>
      <c r="G826" s="6">
        <v>1</v>
      </c>
      <c r="H826" s="45" t="str">
        <f>IF(E826&lt;G826,"Verifica soddisfatta","Verifica non soddisfatta")</f>
        <v>Verifica soddisfatta</v>
      </c>
    </row>
    <row r="827" spans="2:8" x14ac:dyDescent="0.2">
      <c r="B827" s="12"/>
      <c r="C827" s="6"/>
      <c r="D827" s="12"/>
      <c r="F827" s="6"/>
    </row>
    <row r="828" spans="2:8" x14ac:dyDescent="0.2"/>
    <row r="829" spans="2:8" x14ac:dyDescent="0.2">
      <c r="D829" s="65"/>
      <c r="E829" s="6"/>
      <c r="F829" s="6"/>
    </row>
    <row r="830" spans="2:8" x14ac:dyDescent="0.2">
      <c r="B830" s="1" t="s">
        <v>144</v>
      </c>
      <c r="D830" s="65"/>
      <c r="E830" s="6"/>
      <c r="F830" s="6"/>
    </row>
    <row r="831" spans="2:8" x14ac:dyDescent="0.2"/>
    <row r="832" spans="2:8" x14ac:dyDescent="0.2"/>
    <row r="833" spans="2:8" x14ac:dyDescent="0.2"/>
    <row r="834" spans="2:8" x14ac:dyDescent="0.2">
      <c r="E834" s="12"/>
      <c r="F834" s="6" t="s">
        <v>7</v>
      </c>
      <c r="G834" s="12">
        <f>IF($G$456&gt;=0.5*$G$191,$G$191*$G$406*$G$456*1000*$G$240/$G$461,$G$406/2*(0.5*$G$191+$G$456)^2*$G$240*1000/$G$461)</f>
        <v>0.4536694148915757</v>
      </c>
      <c r="H834" s="6" t="s">
        <v>141</v>
      </c>
    </row>
    <row r="835" spans="2:8" x14ac:dyDescent="0.2"/>
    <row r="836" spans="2:8" x14ac:dyDescent="0.2"/>
    <row r="837" spans="2:8" x14ac:dyDescent="0.2"/>
    <row r="838" spans="2:8" x14ac:dyDescent="0.2"/>
    <row r="839" spans="2:8" x14ac:dyDescent="0.2"/>
    <row r="840" spans="2:8" x14ac:dyDescent="0.2"/>
    <row r="841" spans="2:8" x14ac:dyDescent="0.2">
      <c r="C841" s="12">
        <f>G834</f>
        <v>0.4536694148915757</v>
      </c>
      <c r="D841" s="6" t="str">
        <f>IF(C841&lt;=E841,"≤","&gt;")</f>
        <v>≤</v>
      </c>
      <c r="E841" s="12">
        <f>$G$178</f>
        <v>1.3131999999999999</v>
      </c>
      <c r="F841" s="45" t="str">
        <f>IF(C841&lt;E841,"Verifica soddisfatta","Verifica non soddisfatta")</f>
        <v>Verifica soddisfatta</v>
      </c>
    </row>
    <row r="842" spans="2:8" x14ac:dyDescent="0.2"/>
    <row r="843" spans="2:8" ht="15" x14ac:dyDescent="0.2">
      <c r="B843" s="400" t="s">
        <v>149</v>
      </c>
      <c r="C843" s="400"/>
      <c r="D843" s="400"/>
      <c r="E843" s="400"/>
      <c r="F843" s="400"/>
      <c r="G843" s="400"/>
    </row>
    <row r="844" spans="2:8" x14ac:dyDescent="0.2"/>
    <row r="845" spans="2:8" x14ac:dyDescent="0.2">
      <c r="B845" s="1" t="s">
        <v>150</v>
      </c>
    </row>
    <row r="846" spans="2:8" x14ac:dyDescent="0.2"/>
    <row r="847" spans="2:8" x14ac:dyDescent="0.2"/>
    <row r="848" spans="2:8" x14ac:dyDescent="0.2">
      <c r="F848" s="6" t="s">
        <v>7</v>
      </c>
      <c r="G848" s="64">
        <f>$G$424*$G$453*$G$459*$G$201*$G$240/$G$461</f>
        <v>44.716779817748261</v>
      </c>
      <c r="H848" s="6" t="s">
        <v>101</v>
      </c>
    </row>
    <row r="849" spans="2:9" x14ac:dyDescent="0.2">
      <c r="F849" s="6"/>
      <c r="H849" s="6"/>
    </row>
    <row r="850" spans="2:9" x14ac:dyDescent="0.2">
      <c r="F850" s="6"/>
      <c r="H850" s="6"/>
    </row>
    <row r="851" spans="2:9" x14ac:dyDescent="0.2">
      <c r="B851" s="1" t="s">
        <v>151</v>
      </c>
      <c r="F851" s="6"/>
      <c r="H851" s="6"/>
    </row>
    <row r="852" spans="2:9" x14ac:dyDescent="0.2">
      <c r="F852" s="6"/>
      <c r="H852" s="6"/>
    </row>
    <row r="853" spans="2:9" ht="15.75" x14ac:dyDescent="0.25">
      <c r="B853" s="6"/>
      <c r="E853" s="4"/>
      <c r="F853" s="6" t="s">
        <v>7</v>
      </c>
      <c r="G853" s="65">
        <f>G214/1000</f>
        <v>79.474773977424903</v>
      </c>
      <c r="H853" s="6" t="s">
        <v>101</v>
      </c>
    </row>
    <row r="854" spans="2:9" x14ac:dyDescent="0.2">
      <c r="F854" s="6"/>
      <c r="H854" s="6"/>
    </row>
    <row r="855" spans="2:9" x14ac:dyDescent="0.2">
      <c r="F855" s="6"/>
      <c r="H855" s="6"/>
    </row>
    <row r="856" spans="2:9" x14ac:dyDescent="0.2">
      <c r="B856" s="399" t="s">
        <v>152</v>
      </c>
      <c r="C856" s="399"/>
      <c r="D856" s="399"/>
      <c r="E856" s="399"/>
      <c r="F856" s="399"/>
      <c r="G856" s="399"/>
    </row>
    <row r="857" spans="2:9" x14ac:dyDescent="0.2"/>
    <row r="858" spans="2:9" x14ac:dyDescent="0.2"/>
    <row r="859" spans="2:9" x14ac:dyDescent="0.2"/>
    <row r="860" spans="2:9" ht="15.75" x14ac:dyDescent="0.2">
      <c r="E860" s="65">
        <f>G848</f>
        <v>44.716779817748261</v>
      </c>
      <c r="F860" s="6" t="str">
        <f>IF(E860&lt;=G860,"≤","&gt;")</f>
        <v>≤</v>
      </c>
      <c r="G860" s="65">
        <f>G853</f>
        <v>79.474773977424903</v>
      </c>
      <c r="H860" s="45" t="str">
        <f>IF(E860&lt;=G860,"Verifica soddisfatta","Verifica non soddisfatta")</f>
        <v>Verifica soddisfatta</v>
      </c>
      <c r="I860" s="2"/>
    </row>
    <row r="861" spans="2:9" ht="15.75" x14ac:dyDescent="0.2">
      <c r="E861" s="65"/>
      <c r="F861" s="6"/>
      <c r="G861" s="65"/>
      <c r="H861" s="45"/>
      <c r="I861" s="2"/>
    </row>
    <row r="862" spans="2:9" ht="15.75" x14ac:dyDescent="0.2">
      <c r="B862" s="1" t="s">
        <v>427</v>
      </c>
      <c r="E862" s="65"/>
      <c r="F862" s="6"/>
      <c r="G862" s="65"/>
      <c r="H862" s="45"/>
      <c r="I862" s="2"/>
    </row>
    <row r="863" spans="2:9" ht="15.75" x14ac:dyDescent="0.2">
      <c r="B863" s="1" t="s">
        <v>428</v>
      </c>
      <c r="C863" s="1" t="s">
        <v>7</v>
      </c>
      <c r="D863" s="1">
        <f>G848*1000/G414</f>
        <v>0.33706887269334673</v>
      </c>
      <c r="E863" s="65"/>
      <c r="F863" s="6"/>
      <c r="G863" s="65"/>
      <c r="H863" s="45"/>
      <c r="I863" s="2"/>
    </row>
    <row r="864" spans="2:9" ht="15.75" x14ac:dyDescent="0.2">
      <c r="E864" s="65"/>
      <c r="F864" s="6"/>
      <c r="G864" s="65"/>
      <c r="H864" s="45"/>
      <c r="I864" s="2"/>
    </row>
    <row r="865" spans="2:9" x14ac:dyDescent="0.2"/>
    <row r="866" spans="2:9" ht="15.75" x14ac:dyDescent="0.2">
      <c r="B866" s="379" t="s">
        <v>156</v>
      </c>
      <c r="C866" s="380"/>
      <c r="D866" s="380"/>
      <c r="E866" s="380"/>
      <c r="F866" s="380"/>
      <c r="G866" s="380"/>
      <c r="H866" s="381"/>
      <c r="I866" s="2"/>
    </row>
    <row r="867" spans="2:9" x14ac:dyDescent="0.2"/>
    <row r="868" spans="2:9" x14ac:dyDescent="0.2">
      <c r="B868" s="61" t="s">
        <v>157</v>
      </c>
    </row>
    <row r="869" spans="2:9" x14ac:dyDescent="0.2"/>
    <row r="870" spans="2:9" ht="15.75" x14ac:dyDescent="0.25">
      <c r="E870" s="48"/>
    </row>
    <row r="871" spans="2:9" ht="18.75" x14ac:dyDescent="0.35">
      <c r="B871" s="1" t="s">
        <v>158</v>
      </c>
      <c r="E871" s="4" t="s">
        <v>106</v>
      </c>
      <c r="F871" s="6" t="s">
        <v>7</v>
      </c>
      <c r="G871" s="62">
        <f>G252</f>
        <v>97020000000</v>
      </c>
      <c r="H871" s="6" t="s">
        <v>107</v>
      </c>
    </row>
    <row r="872" spans="2:9" ht="15.75" x14ac:dyDescent="0.25">
      <c r="E872" s="48"/>
      <c r="H872" s="6"/>
    </row>
    <row r="873" spans="2:9" ht="18.75" x14ac:dyDescent="0.35">
      <c r="B873" s="1" t="s">
        <v>159</v>
      </c>
      <c r="E873" s="4" t="s">
        <v>109</v>
      </c>
      <c r="F873" s="6" t="s">
        <v>7</v>
      </c>
      <c r="G873" s="62">
        <f>G255</f>
        <v>138600000</v>
      </c>
      <c r="H873" s="6" t="s">
        <v>4</v>
      </c>
    </row>
    <row r="874" spans="2:9" ht="15.75" x14ac:dyDescent="0.25">
      <c r="E874" s="48"/>
      <c r="H874" s="6"/>
    </row>
    <row r="875" spans="2:9" ht="15.75" x14ac:dyDescent="0.25">
      <c r="B875" s="61" t="s">
        <v>160</v>
      </c>
      <c r="E875" s="48"/>
      <c r="H875" s="6"/>
    </row>
    <row r="876" spans="2:9" ht="15.75" x14ac:dyDescent="0.25">
      <c r="E876" s="48"/>
      <c r="H876" s="6"/>
    </row>
    <row r="877" spans="2:9" ht="15.75" x14ac:dyDescent="0.25">
      <c r="E877" s="48"/>
      <c r="H877" s="6"/>
    </row>
    <row r="878" spans="2:9" ht="18.75" x14ac:dyDescent="0.35">
      <c r="B878" s="1" t="s">
        <v>158</v>
      </c>
      <c r="E878" s="4" t="s">
        <v>111</v>
      </c>
      <c r="F878" s="6" t="s">
        <v>7</v>
      </c>
      <c r="G878" s="62">
        <f>G260</f>
        <v>2526550000000</v>
      </c>
      <c r="H878" s="6" t="s">
        <v>107</v>
      </c>
    </row>
    <row r="879" spans="2:9" ht="15.75" x14ac:dyDescent="0.25">
      <c r="E879" s="48"/>
      <c r="H879" s="6"/>
    </row>
    <row r="880" spans="2:9" ht="18.75" x14ac:dyDescent="0.35">
      <c r="B880" s="1" t="s">
        <v>159</v>
      </c>
      <c r="E880" s="4" t="s">
        <v>112</v>
      </c>
      <c r="F880" s="6" t="s">
        <v>7</v>
      </c>
      <c r="G880" s="62">
        <f>G263</f>
        <v>448500000</v>
      </c>
      <c r="H880" s="6" t="s">
        <v>4</v>
      </c>
    </row>
    <row r="881" spans="2:8" ht="15.75" x14ac:dyDescent="0.25">
      <c r="E881" s="48"/>
      <c r="H881" s="6"/>
    </row>
    <row r="882" spans="2:8" ht="15.75" x14ac:dyDescent="0.25">
      <c r="B882" s="61" t="s">
        <v>113</v>
      </c>
      <c r="E882" s="48"/>
      <c r="H882" s="6"/>
    </row>
    <row r="883" spans="2:8" ht="15.75" x14ac:dyDescent="0.25">
      <c r="E883" s="48"/>
      <c r="H883" s="6"/>
    </row>
    <row r="884" spans="2:8" ht="18.75" x14ac:dyDescent="0.35">
      <c r="B884" s="1" t="s">
        <v>158</v>
      </c>
      <c r="E884" s="5" t="s">
        <v>114</v>
      </c>
      <c r="F884" s="6" t="s">
        <v>7</v>
      </c>
      <c r="G884" s="62">
        <f>G878+G871</f>
        <v>2623570000000</v>
      </c>
      <c r="H884" s="6" t="s">
        <v>107</v>
      </c>
    </row>
    <row r="885" spans="2:8" ht="15.75" x14ac:dyDescent="0.25">
      <c r="E885" s="5"/>
      <c r="H885" s="6"/>
    </row>
    <row r="886" spans="2:8" ht="15.75" x14ac:dyDescent="0.25">
      <c r="E886" s="5"/>
      <c r="H886" s="6"/>
    </row>
    <row r="887" spans="2:8" ht="18.75" x14ac:dyDescent="0.35">
      <c r="B887" s="1" t="s">
        <v>159</v>
      </c>
      <c r="E887" s="5" t="s">
        <v>115</v>
      </c>
      <c r="F887" s="6" t="s">
        <v>7</v>
      </c>
      <c r="G887" s="62">
        <f>(G880*G873)/(G880+G873)</f>
        <v>105879918.24220747</v>
      </c>
      <c r="H887" s="6" t="s">
        <v>4</v>
      </c>
    </row>
    <row r="888" spans="2:8" x14ac:dyDescent="0.2"/>
    <row r="889" spans="2:8" x14ac:dyDescent="0.2">
      <c r="B889" s="61" t="s">
        <v>132</v>
      </c>
    </row>
    <row r="890" spans="2:8" x14ac:dyDescent="0.2"/>
    <row r="891" spans="2:8" ht="15.75" x14ac:dyDescent="0.25">
      <c r="E891" s="5" t="s">
        <v>133</v>
      </c>
      <c r="F891" s="6" t="s">
        <v>7</v>
      </c>
      <c r="G891" s="6">
        <f>G278</f>
        <v>170</v>
      </c>
      <c r="H891" s="6" t="s">
        <v>65</v>
      </c>
    </row>
    <row r="892" spans="2:8" x14ac:dyDescent="0.2"/>
    <row r="893" spans="2:8" x14ac:dyDescent="0.2">
      <c r="B893" s="61" t="s">
        <v>244</v>
      </c>
    </row>
    <row r="894" spans="2:8" x14ac:dyDescent="0.2"/>
    <row r="895" spans="2:8" ht="14.25" x14ac:dyDescent="0.2">
      <c r="B895" s="1" t="s">
        <v>158</v>
      </c>
      <c r="F895" s="6" t="s">
        <v>7</v>
      </c>
      <c r="G895" s="62">
        <f>G884+G887*G891^2</f>
        <v>5683499637199.7959</v>
      </c>
      <c r="H895" s="6" t="s">
        <v>107</v>
      </c>
    </row>
    <row r="896" spans="2:8" x14ac:dyDescent="0.2"/>
    <row r="897" spans="2:8" x14ac:dyDescent="0.2">
      <c r="B897" s="61" t="s">
        <v>118</v>
      </c>
    </row>
    <row r="898" spans="2:8" x14ac:dyDescent="0.2">
      <c r="B898" s="61"/>
    </row>
    <row r="899" spans="2:8" x14ac:dyDescent="0.2">
      <c r="B899" s="1" t="s">
        <v>119</v>
      </c>
    </row>
    <row r="900" spans="2:8" x14ac:dyDescent="0.2"/>
    <row r="901" spans="2:8" x14ac:dyDescent="0.2"/>
    <row r="902" spans="2:8" x14ac:dyDescent="0.2">
      <c r="F902" s="6" t="s">
        <v>7</v>
      </c>
      <c r="G902" s="84">
        <f>1/(1+((3.14^2)*G873*'Relazione di Calcolo AT SUPPORT'!G201)/('Relazione di Calcolo AT SUPPORT'!G207*'Relazione di Calcolo AT SUPPORT'!G196^2))</f>
        <v>0.86352732382910102</v>
      </c>
      <c r="H902" s="6"/>
    </row>
    <row r="903" spans="2:8" x14ac:dyDescent="0.2">
      <c r="G903" s="1"/>
      <c r="H903" s="6"/>
    </row>
    <row r="904" spans="2:8" x14ac:dyDescent="0.2">
      <c r="G904" s="1"/>
      <c r="H904" s="6"/>
    </row>
    <row r="905" spans="2:8" x14ac:dyDescent="0.2">
      <c r="F905" s="6"/>
      <c r="G905" s="1"/>
      <c r="H905" s="6"/>
    </row>
    <row r="906" spans="2:8" x14ac:dyDescent="0.2">
      <c r="F906" s="6" t="s">
        <v>7</v>
      </c>
      <c r="G906" s="72">
        <f>(G902*G873*G891)/(G902*G873+G880)</f>
        <v>35.809524798394278</v>
      </c>
      <c r="H906" s="6" t="s">
        <v>65</v>
      </c>
    </row>
    <row r="907" spans="2:8" x14ac:dyDescent="0.2">
      <c r="G907" s="1"/>
      <c r="H907" s="6"/>
    </row>
    <row r="908" spans="2:8" x14ac:dyDescent="0.2">
      <c r="G908" s="1"/>
      <c r="H908" s="6"/>
    </row>
    <row r="909" spans="2:8" x14ac:dyDescent="0.2">
      <c r="F909" s="6" t="s">
        <v>7</v>
      </c>
      <c r="G909" s="72">
        <f>G891-G906</f>
        <v>134.19047520160572</v>
      </c>
      <c r="H909" s="6" t="s">
        <v>65</v>
      </c>
    </row>
    <row r="910" spans="2:8" x14ac:dyDescent="0.2"/>
    <row r="911" spans="2:8" ht="18.75" x14ac:dyDescent="0.35">
      <c r="E911" s="5" t="s">
        <v>245</v>
      </c>
      <c r="F911" s="6" t="s">
        <v>7</v>
      </c>
      <c r="G911" s="69">
        <f>G871+G878+G880*G906^2+G873*G909^2*G902</f>
        <v>5353867218253.5723</v>
      </c>
      <c r="H911" s="6" t="s">
        <v>107</v>
      </c>
    </row>
    <row r="912" spans="2:8" x14ac:dyDescent="0.2">
      <c r="B912" s="61" t="s">
        <v>121</v>
      </c>
    </row>
    <row r="913" spans="2:9" x14ac:dyDescent="0.2"/>
    <row r="914" spans="2:9" x14ac:dyDescent="0.2"/>
    <row r="915" spans="2:9" x14ac:dyDescent="0.2">
      <c r="F915" s="6" t="s">
        <v>7</v>
      </c>
      <c r="G915" s="70">
        <f>(G911-G884)/(G895-G884)</f>
        <v>0.89227451019171899</v>
      </c>
    </row>
    <row r="916" spans="2:9" x14ac:dyDescent="0.2"/>
    <row r="917" spans="2:9" x14ac:dyDescent="0.2"/>
    <row r="918" spans="2:9" x14ac:dyDescent="0.2"/>
    <row r="919" spans="2:9" ht="18" x14ac:dyDescent="0.2">
      <c r="B919" s="379" t="s">
        <v>162</v>
      </c>
      <c r="C919" s="380"/>
      <c r="D919" s="380"/>
      <c r="E919" s="380"/>
      <c r="F919" s="380"/>
      <c r="G919" s="380"/>
      <c r="H919" s="381"/>
      <c r="I919" s="2"/>
    </row>
    <row r="920" spans="2:9" ht="13.5" customHeight="1" x14ac:dyDescent="0.3">
      <c r="B920" s="66"/>
      <c r="C920" s="66"/>
      <c r="D920" s="66"/>
      <c r="E920" s="66"/>
      <c r="F920" s="66"/>
      <c r="G920" s="66"/>
      <c r="H920" s="66"/>
      <c r="I920" s="66"/>
    </row>
    <row r="921" spans="2:9" x14ac:dyDescent="0.2">
      <c r="B921" s="61" t="s">
        <v>163</v>
      </c>
    </row>
    <row r="922" spans="2:9" x14ac:dyDescent="0.2"/>
    <row r="923" spans="2:9" x14ac:dyDescent="0.2">
      <c r="C923" s="6"/>
      <c r="F923" s="6" t="s">
        <v>7</v>
      </c>
      <c r="G923" s="47">
        <f>$D$155/(1+$G$217)</f>
        <v>6508.875739644971</v>
      </c>
      <c r="H923" s="6" t="s">
        <v>141</v>
      </c>
    </row>
    <row r="924" spans="2:9" x14ac:dyDescent="0.2">
      <c r="C924" s="6"/>
      <c r="F924" s="6"/>
      <c r="H924" s="6"/>
    </row>
    <row r="925" spans="2:9" x14ac:dyDescent="0.2">
      <c r="C925" s="6"/>
      <c r="F925" s="6"/>
      <c r="H925" s="6"/>
    </row>
    <row r="926" spans="2:9" x14ac:dyDescent="0.2">
      <c r="B926" s="61" t="s">
        <v>164</v>
      </c>
      <c r="C926" s="6"/>
      <c r="F926" s="6"/>
      <c r="H926" s="6"/>
    </row>
    <row r="927" spans="2:9" x14ac:dyDescent="0.2">
      <c r="B927" s="61"/>
      <c r="C927" s="6"/>
      <c r="F927" s="6"/>
      <c r="H927" s="6"/>
    </row>
    <row r="928" spans="2:9" x14ac:dyDescent="0.2">
      <c r="B928" s="61"/>
      <c r="C928" s="6"/>
      <c r="F928" s="6" t="s">
        <v>7</v>
      </c>
      <c r="G928" s="47">
        <f>$D$179/(1+$G$217)</f>
        <v>6804.7337278106515</v>
      </c>
      <c r="H928" s="6" t="s">
        <v>141</v>
      </c>
    </row>
    <row r="929" spans="2:8" x14ac:dyDescent="0.2">
      <c r="B929" s="61"/>
      <c r="C929" s="6"/>
      <c r="F929" s="6"/>
      <c r="H929" s="6"/>
    </row>
    <row r="930" spans="2:8" x14ac:dyDescent="0.2">
      <c r="B930" s="61"/>
      <c r="C930" s="6"/>
      <c r="F930" s="6"/>
      <c r="H930" s="6"/>
    </row>
    <row r="931" spans="2:8" x14ac:dyDescent="0.2">
      <c r="B931" s="61" t="s">
        <v>126</v>
      </c>
      <c r="G931" s="1"/>
    </row>
    <row r="932" spans="2:8" x14ac:dyDescent="0.2">
      <c r="B932" s="61"/>
      <c r="G932" s="1"/>
    </row>
    <row r="933" spans="2:8" x14ac:dyDescent="0.2">
      <c r="B933" s="61"/>
      <c r="G933" s="1"/>
    </row>
    <row r="934" spans="2:8" x14ac:dyDescent="0.2">
      <c r="B934" s="61"/>
      <c r="F934" s="6" t="s">
        <v>7</v>
      </c>
      <c r="G934" s="47">
        <f>'Relazione di Calcolo AT SUPPORT'!G207/(1+'Relazione di Calcolo AT SUPPORT'!G217)</f>
        <v>142122.78106508875</v>
      </c>
      <c r="H934" s="6" t="s">
        <v>78</v>
      </c>
    </row>
    <row r="935" spans="2:8" x14ac:dyDescent="0.2">
      <c r="B935" s="61"/>
    </row>
    <row r="936" spans="2:8" x14ac:dyDescent="0.2">
      <c r="B936" s="61"/>
    </row>
    <row r="937" spans="2:8" x14ac:dyDescent="0.2"/>
    <row r="938" spans="2:8" x14ac:dyDescent="0.2">
      <c r="B938" s="61" t="s">
        <v>157</v>
      </c>
    </row>
    <row r="939" spans="2:8" x14ac:dyDescent="0.2"/>
    <row r="940" spans="2:8" x14ac:dyDescent="0.2"/>
    <row r="941" spans="2:8" ht="18.75" x14ac:dyDescent="0.35">
      <c r="B941" s="1" t="s">
        <v>158</v>
      </c>
      <c r="E941" s="4" t="s">
        <v>106</v>
      </c>
      <c r="F941" s="6" t="s">
        <v>7</v>
      </c>
      <c r="G941" s="62">
        <f>G923*F106</f>
        <v>57408284023.66864</v>
      </c>
      <c r="H941" s="6" t="s">
        <v>107</v>
      </c>
    </row>
    <row r="942" spans="2:8" ht="15.75" x14ac:dyDescent="0.25">
      <c r="E942" s="48"/>
      <c r="H942" s="6"/>
    </row>
    <row r="943" spans="2:8" x14ac:dyDescent="0.2">
      <c r="H943" s="6"/>
    </row>
    <row r="944" spans="2:8" ht="18.75" x14ac:dyDescent="0.35">
      <c r="B944" s="1" t="s">
        <v>159</v>
      </c>
      <c r="E944" s="4" t="s">
        <v>109</v>
      </c>
      <c r="F944" s="6" t="s">
        <v>7</v>
      </c>
      <c r="G944" s="62">
        <f>G923*F107</f>
        <v>82011834.319526628</v>
      </c>
      <c r="H944" s="6" t="s">
        <v>4</v>
      </c>
    </row>
    <row r="945" spans="2:8" ht="15.75" x14ac:dyDescent="0.25">
      <c r="E945" s="4"/>
      <c r="F945" s="6"/>
      <c r="G945" s="63"/>
      <c r="H945" s="6"/>
    </row>
    <row r="946" spans="2:8" ht="15.75" x14ac:dyDescent="0.25">
      <c r="E946" s="48"/>
      <c r="H946" s="6"/>
    </row>
    <row r="947" spans="2:8" ht="15.75" x14ac:dyDescent="0.25">
      <c r="B947" s="61" t="s">
        <v>160</v>
      </c>
      <c r="E947" s="48"/>
      <c r="H947" s="6"/>
    </row>
    <row r="948" spans="2:8" ht="15.75" x14ac:dyDescent="0.25">
      <c r="E948" s="48"/>
      <c r="H948" s="6"/>
    </row>
    <row r="949" spans="2:8" x14ac:dyDescent="0.2">
      <c r="H949" s="6"/>
    </row>
    <row r="950" spans="2:8" ht="18.75" x14ac:dyDescent="0.35">
      <c r="B950" s="1" t="s">
        <v>158</v>
      </c>
      <c r="E950" s="4" t="s">
        <v>111</v>
      </c>
      <c r="F950" s="6" t="s">
        <v>7</v>
      </c>
      <c r="G950" s="62">
        <f>G928*G192*G191^3/12</f>
        <v>1495000000000</v>
      </c>
      <c r="H950" s="6" t="s">
        <v>107</v>
      </c>
    </row>
    <row r="951" spans="2:8" x14ac:dyDescent="0.2">
      <c r="H951" s="6"/>
    </row>
    <row r="952" spans="2:8" ht="15.75" x14ac:dyDescent="0.25">
      <c r="E952" s="48"/>
      <c r="H952" s="6"/>
    </row>
    <row r="953" spans="2:8" ht="18.75" x14ac:dyDescent="0.35">
      <c r="B953" s="1" t="s">
        <v>159</v>
      </c>
      <c r="E953" s="4" t="s">
        <v>112</v>
      </c>
      <c r="F953" s="6" t="s">
        <v>7</v>
      </c>
      <c r="G953" s="62">
        <f>G928*G191*G192</f>
        <v>265384615.38461542</v>
      </c>
      <c r="H953" s="6" t="s">
        <v>4</v>
      </c>
    </row>
    <row r="954" spans="2:8" ht="15.75" x14ac:dyDescent="0.25">
      <c r="E954" s="48"/>
      <c r="H954" s="6"/>
    </row>
    <row r="955" spans="2:8" x14ac:dyDescent="0.2">
      <c r="B955" s="61" t="s">
        <v>165</v>
      </c>
      <c r="H955" s="6"/>
    </row>
    <row r="956" spans="2:8" ht="15.75" x14ac:dyDescent="0.25">
      <c r="E956" s="5"/>
      <c r="H956" s="6"/>
    </row>
    <row r="957" spans="2:8" ht="18.75" x14ac:dyDescent="0.35">
      <c r="B957" s="1" t="s">
        <v>158</v>
      </c>
      <c r="E957" s="5" t="s">
        <v>246</v>
      </c>
      <c r="F957" s="6" t="s">
        <v>7</v>
      </c>
      <c r="G957" s="62">
        <f>G950+G941</f>
        <v>1552408284023.6687</v>
      </c>
      <c r="H957" s="6" t="s">
        <v>107</v>
      </c>
    </row>
    <row r="958" spans="2:8" x14ac:dyDescent="0.2"/>
    <row r="959" spans="2:8" x14ac:dyDescent="0.2"/>
    <row r="960" spans="2:8" ht="18.75" x14ac:dyDescent="0.35">
      <c r="B960" s="1" t="s">
        <v>159</v>
      </c>
      <c r="E960" s="5" t="s">
        <v>131</v>
      </c>
      <c r="F960" s="6" t="s">
        <v>7</v>
      </c>
      <c r="G960" s="62">
        <f>(G953*G944)/(G953+G944)</f>
        <v>62650839.19657246</v>
      </c>
      <c r="H960" s="6" t="s">
        <v>4</v>
      </c>
    </row>
    <row r="961" spans="2:8" x14ac:dyDescent="0.2">
      <c r="H961" s="6"/>
    </row>
    <row r="962" spans="2:8" x14ac:dyDescent="0.2">
      <c r="H962" s="6"/>
    </row>
    <row r="963" spans="2:8" x14ac:dyDescent="0.2">
      <c r="B963" s="61" t="s">
        <v>132</v>
      </c>
      <c r="H963" s="6"/>
    </row>
    <row r="964" spans="2:8" ht="15.75" customHeight="1" x14ac:dyDescent="0.2">
      <c r="H964" s="6"/>
    </row>
    <row r="965" spans="2:8" ht="15.75" x14ac:dyDescent="0.25">
      <c r="E965" s="5" t="s">
        <v>133</v>
      </c>
      <c r="F965" s="6" t="s">
        <v>7</v>
      </c>
      <c r="G965" s="6">
        <f>G891</f>
        <v>170</v>
      </c>
      <c r="H965" s="1" t="s">
        <v>65</v>
      </c>
    </row>
    <row r="966" spans="2:8" x14ac:dyDescent="0.2">
      <c r="H966" s="6"/>
    </row>
    <row r="967" spans="2:8" x14ac:dyDescent="0.2">
      <c r="B967" s="61" t="s">
        <v>161</v>
      </c>
      <c r="H967" s="6"/>
    </row>
    <row r="968" spans="2:8" x14ac:dyDescent="0.2">
      <c r="H968" s="6"/>
    </row>
    <row r="969" spans="2:8" ht="14.25" x14ac:dyDescent="0.2">
      <c r="B969" s="1" t="s">
        <v>158</v>
      </c>
      <c r="F969" s="6" t="s">
        <v>7</v>
      </c>
      <c r="G969" s="62">
        <f>G957+G960*G965^2</f>
        <v>3363017536804.6128</v>
      </c>
      <c r="H969" s="6" t="s">
        <v>107</v>
      </c>
    </row>
    <row r="970" spans="2:8" x14ac:dyDescent="0.2"/>
    <row r="971" spans="2:8" x14ac:dyDescent="0.2">
      <c r="B971" s="61" t="s">
        <v>118</v>
      </c>
    </row>
    <row r="972" spans="2:8" x14ac:dyDescent="0.2">
      <c r="B972" s="61"/>
    </row>
    <row r="973" spans="2:8" x14ac:dyDescent="0.2">
      <c r="B973" s="1" t="s">
        <v>119</v>
      </c>
    </row>
    <row r="974" spans="2:8" x14ac:dyDescent="0.2"/>
    <row r="975" spans="2:8" x14ac:dyDescent="0.2"/>
    <row r="976" spans="2:8" x14ac:dyDescent="0.2">
      <c r="F976" s="6" t="s">
        <v>7</v>
      </c>
      <c r="G976" s="84">
        <f>1/(1+((3.14^2)*G944*G201)/(G934*G196^2))</f>
        <v>0.86352732382910102</v>
      </c>
      <c r="H976" s="6"/>
    </row>
    <row r="977" spans="2:8" x14ac:dyDescent="0.2">
      <c r="G977" s="1"/>
      <c r="H977" s="6"/>
    </row>
    <row r="978" spans="2:8" x14ac:dyDescent="0.2">
      <c r="G978" s="1"/>
      <c r="H978" s="6"/>
    </row>
    <row r="979" spans="2:8" x14ac:dyDescent="0.2">
      <c r="F979" s="6"/>
      <c r="G979" s="1"/>
      <c r="H979" s="6"/>
    </row>
    <row r="980" spans="2:8" x14ac:dyDescent="0.2">
      <c r="F980" s="6" t="s">
        <v>7</v>
      </c>
      <c r="G980" s="72">
        <f>(G976*G944*G965)/(G976*G944+G953)</f>
        <v>35.809524798394278</v>
      </c>
      <c r="H980" s="6" t="s">
        <v>65</v>
      </c>
    </row>
    <row r="981" spans="2:8" x14ac:dyDescent="0.2">
      <c r="G981" s="1"/>
      <c r="H981" s="6"/>
    </row>
    <row r="982" spans="2:8" x14ac:dyDescent="0.2">
      <c r="G982" s="1"/>
      <c r="H982" s="6"/>
    </row>
    <row r="983" spans="2:8" x14ac:dyDescent="0.2">
      <c r="F983" s="6" t="s">
        <v>7</v>
      </c>
      <c r="G983" s="72">
        <f>G965-G980</f>
        <v>134.19047520160572</v>
      </c>
      <c r="H983" s="6" t="s">
        <v>65</v>
      </c>
    </row>
    <row r="984" spans="2:8" x14ac:dyDescent="0.2"/>
    <row r="985" spans="2:8" x14ac:dyDescent="0.2"/>
    <row r="986" spans="2:8" ht="18.75" x14ac:dyDescent="0.35">
      <c r="E986" s="5" t="s">
        <v>247</v>
      </c>
      <c r="F986" s="6" t="s">
        <v>7</v>
      </c>
      <c r="G986" s="69">
        <f>G941+G950+G953*G980^2+G944*G983^2*G976</f>
        <v>3167968768197.3799</v>
      </c>
      <c r="H986" s="6" t="s">
        <v>120</v>
      </c>
    </row>
    <row r="987" spans="2:8" x14ac:dyDescent="0.2"/>
    <row r="988" spans="2:8" x14ac:dyDescent="0.2">
      <c r="B988" s="61" t="s">
        <v>121</v>
      </c>
    </row>
    <row r="989" spans="2:8" x14ac:dyDescent="0.2"/>
    <row r="990" spans="2:8" x14ac:dyDescent="0.2"/>
    <row r="991" spans="2:8" x14ac:dyDescent="0.2">
      <c r="F991" s="6" t="s">
        <v>7</v>
      </c>
      <c r="G991" s="70">
        <f>(G986-G957)/(G969-G957)</f>
        <v>0.89227451019171899</v>
      </c>
    </row>
    <row r="992" spans="2:8" x14ac:dyDescent="0.2"/>
    <row r="993" spans="1:19" x14ac:dyDescent="0.2"/>
    <row r="994" spans="1:19" s="95" customFormat="1" x14ac:dyDescent="0.2">
      <c r="A994" s="1"/>
      <c r="B994" s="1"/>
      <c r="C994" s="1"/>
      <c r="D994" s="1"/>
      <c r="E994" s="1"/>
      <c r="F994" s="1"/>
      <c r="G994" s="6"/>
      <c r="H994" s="1"/>
      <c r="I994" s="1"/>
      <c r="J994" s="10"/>
      <c r="K994" s="10"/>
      <c r="L994" s="10"/>
      <c r="M994" s="10"/>
      <c r="N994" s="10"/>
      <c r="O994" s="10"/>
      <c r="P994" s="10"/>
      <c r="Q994" s="10"/>
      <c r="R994" s="10"/>
      <c r="S994" s="10"/>
    </row>
    <row r="995" spans="1:19" s="95" customFormat="1" ht="15" x14ac:dyDescent="0.25">
      <c r="A995" s="1"/>
      <c r="B995"/>
      <c r="C995"/>
      <c r="D995"/>
      <c r="E995"/>
      <c r="F995"/>
      <c r="G995"/>
      <c r="H995"/>
      <c r="I995"/>
      <c r="J995" s="10"/>
      <c r="K995" s="10"/>
      <c r="L995" s="10"/>
      <c r="M995" s="10"/>
      <c r="N995" s="10"/>
      <c r="O995" s="10"/>
      <c r="P995" s="10"/>
      <c r="Q995" s="10"/>
      <c r="R995" s="10"/>
      <c r="S995" s="10"/>
    </row>
    <row r="996" spans="1:19" s="95" customFormat="1" ht="15" x14ac:dyDescent="0.25">
      <c r="A996" s="1"/>
      <c r="B996"/>
      <c r="C996"/>
      <c r="D996"/>
      <c r="E996"/>
      <c r="F996"/>
      <c r="G996"/>
      <c r="H996"/>
      <c r="I996"/>
      <c r="J996" s="10"/>
      <c r="K996" s="10"/>
      <c r="L996" s="10"/>
      <c r="M996" s="10"/>
      <c r="N996" s="10"/>
      <c r="O996" s="10"/>
      <c r="P996" s="10"/>
      <c r="Q996" s="10"/>
      <c r="R996" s="10"/>
      <c r="S996" s="10"/>
    </row>
    <row r="997" spans="1:19" s="95" customFormat="1" ht="15" x14ac:dyDescent="0.25">
      <c r="A997" s="1"/>
      <c r="B997"/>
      <c r="C997"/>
      <c r="D997"/>
      <c r="E997"/>
      <c r="F997"/>
      <c r="G997"/>
      <c r="H997"/>
      <c r="I997"/>
      <c r="J997" s="10"/>
      <c r="K997" s="10"/>
      <c r="L997" s="10"/>
      <c r="M997" s="10"/>
      <c r="N997" s="10"/>
      <c r="O997" s="10"/>
      <c r="P997" s="10"/>
      <c r="Q997" s="10"/>
      <c r="R997" s="10"/>
      <c r="S997" s="10"/>
    </row>
    <row r="998" spans="1:19" s="95" customFormat="1" ht="15" x14ac:dyDescent="0.25">
      <c r="A998" s="1"/>
      <c r="B998"/>
      <c r="C998"/>
      <c r="D998"/>
      <c r="E998"/>
      <c r="F998"/>
      <c r="G998"/>
      <c r="H998"/>
      <c r="I998"/>
      <c r="J998" s="10"/>
      <c r="K998" s="10"/>
      <c r="L998" s="10"/>
      <c r="M998" s="10"/>
      <c r="N998" s="10"/>
      <c r="O998" s="10"/>
      <c r="P998" s="10"/>
      <c r="Q998" s="10"/>
      <c r="R998" s="10"/>
      <c r="S998" s="10"/>
    </row>
    <row r="999" spans="1:19" s="95" customFormat="1" ht="15" x14ac:dyDescent="0.25">
      <c r="A999" s="1"/>
      <c r="B999"/>
      <c r="C999"/>
      <c r="D999"/>
      <c r="E999"/>
      <c r="F999"/>
      <c r="G999"/>
      <c r="H999"/>
      <c r="I999"/>
      <c r="J999" s="10"/>
      <c r="K999" s="10"/>
      <c r="L999" s="10"/>
      <c r="M999" s="10"/>
      <c r="N999" s="10"/>
      <c r="O999" s="10"/>
      <c r="P999" s="10"/>
      <c r="Q999" s="10"/>
      <c r="R999" s="10"/>
      <c r="S999" s="10"/>
    </row>
    <row r="1000" spans="1:19" s="95" customFormat="1" ht="15" x14ac:dyDescent="0.25">
      <c r="A1000" s="1"/>
      <c r="B1000"/>
      <c r="C1000"/>
      <c r="D1000"/>
      <c r="E1000"/>
      <c r="F1000"/>
      <c r="G1000"/>
      <c r="H1000"/>
      <c r="I1000"/>
      <c r="J1000" s="10"/>
      <c r="K1000" s="10"/>
      <c r="L1000" s="10"/>
      <c r="M1000" s="10"/>
      <c r="N1000" s="10"/>
      <c r="O1000" s="10"/>
      <c r="P1000" s="10"/>
      <c r="Q1000" s="10"/>
      <c r="R1000" s="10"/>
      <c r="S1000" s="10"/>
    </row>
    <row r="1001" spans="1:19" s="95" customFormat="1" ht="15" x14ac:dyDescent="0.25">
      <c r="A1001" s="1"/>
      <c r="B1001"/>
      <c r="C1001"/>
      <c r="D1001"/>
      <c r="E1001"/>
      <c r="F1001"/>
      <c r="G1001"/>
      <c r="H1001"/>
      <c r="I1001"/>
      <c r="J1001" s="10"/>
      <c r="K1001" s="10"/>
      <c r="L1001" s="10"/>
      <c r="M1001" s="10"/>
      <c r="N1001" s="10"/>
      <c r="O1001" s="10"/>
      <c r="P1001" s="10"/>
      <c r="Q1001" s="10"/>
      <c r="R1001" s="10"/>
      <c r="S1001" s="10"/>
    </row>
    <row r="1002" spans="1:19" s="95" customFormat="1" ht="15" x14ac:dyDescent="0.25">
      <c r="A1002" s="1"/>
      <c r="B1002"/>
      <c r="C1002"/>
      <c r="D1002"/>
      <c r="E1002"/>
      <c r="F1002"/>
      <c r="G1002"/>
      <c r="H1002"/>
      <c r="I1002"/>
      <c r="J1002" s="10"/>
      <c r="K1002" s="10"/>
      <c r="L1002" s="10"/>
      <c r="M1002" s="10"/>
      <c r="N1002" s="10"/>
      <c r="O1002" s="10"/>
      <c r="P1002" s="10"/>
      <c r="Q1002" s="10"/>
      <c r="R1002" s="10"/>
      <c r="S1002" s="10"/>
    </row>
    <row r="1003" spans="1:19" s="95" customFormat="1" ht="15" x14ac:dyDescent="0.25">
      <c r="A1003" s="1"/>
      <c r="B1003"/>
      <c r="C1003"/>
      <c r="D1003"/>
      <c r="E1003"/>
      <c r="F1003"/>
      <c r="G1003"/>
      <c r="H1003"/>
      <c r="I1003"/>
      <c r="J1003" s="10"/>
      <c r="K1003" s="10"/>
      <c r="L1003" s="10"/>
      <c r="M1003" s="10"/>
      <c r="N1003" s="10"/>
      <c r="O1003" s="10"/>
      <c r="P1003" s="10"/>
      <c r="Q1003" s="10"/>
      <c r="R1003" s="10"/>
      <c r="S1003" s="10"/>
    </row>
    <row r="1004" spans="1:19" s="95" customFormat="1" ht="15" x14ac:dyDescent="0.25">
      <c r="A1004" s="1"/>
      <c r="B1004"/>
      <c r="C1004"/>
      <c r="D1004"/>
      <c r="E1004"/>
      <c r="F1004"/>
      <c r="G1004"/>
      <c r="H1004"/>
      <c r="I1004"/>
      <c r="J1004" s="10"/>
      <c r="K1004" s="10"/>
      <c r="L1004" s="10"/>
      <c r="M1004" s="10"/>
      <c r="N1004" s="10"/>
      <c r="O1004" s="10"/>
      <c r="P1004" s="10"/>
      <c r="Q1004" s="10"/>
      <c r="R1004" s="10"/>
      <c r="S1004" s="10"/>
    </row>
    <row r="1005" spans="1:19" s="95" customFormat="1" ht="15" x14ac:dyDescent="0.25">
      <c r="A1005" s="1"/>
      <c r="B1005"/>
      <c r="C1005"/>
      <c r="D1005"/>
      <c r="E1005"/>
      <c r="F1005"/>
      <c r="G1005"/>
      <c r="H1005"/>
      <c r="I1005"/>
      <c r="J1005" s="10"/>
      <c r="K1005" s="10"/>
      <c r="L1005" s="10"/>
      <c r="M1005" s="10"/>
      <c r="N1005" s="10"/>
      <c r="O1005" s="10"/>
      <c r="P1005" s="10"/>
      <c r="Q1005" s="10"/>
      <c r="R1005" s="10"/>
      <c r="S1005" s="10"/>
    </row>
    <row r="1006" spans="1:19" s="95" customFormat="1" ht="15" x14ac:dyDescent="0.25">
      <c r="A1006" s="1"/>
      <c r="B1006"/>
      <c r="C1006"/>
      <c r="D1006"/>
      <c r="E1006"/>
      <c r="F1006"/>
      <c r="G1006"/>
      <c r="H1006"/>
      <c r="I1006"/>
      <c r="J1006" s="10"/>
      <c r="K1006" s="10"/>
      <c r="L1006" s="10"/>
      <c r="M1006" s="10"/>
      <c r="N1006" s="10"/>
      <c r="O1006" s="10"/>
      <c r="P1006" s="10"/>
      <c r="Q1006" s="10"/>
      <c r="R1006" s="10"/>
      <c r="S1006" s="10"/>
    </row>
    <row r="1007" spans="1:19" s="95" customFormat="1" ht="15" x14ac:dyDescent="0.25">
      <c r="A1007" s="1"/>
      <c r="B1007"/>
      <c r="C1007"/>
      <c r="D1007"/>
      <c r="E1007"/>
      <c r="F1007"/>
      <c r="G1007"/>
      <c r="H1007"/>
      <c r="I1007"/>
      <c r="J1007" s="10"/>
      <c r="K1007" s="10"/>
      <c r="L1007" s="10"/>
      <c r="M1007" s="10"/>
      <c r="N1007" s="10"/>
      <c r="O1007" s="10"/>
      <c r="P1007" s="10"/>
      <c r="Q1007" s="10"/>
      <c r="R1007" s="10"/>
      <c r="S1007" s="10"/>
    </row>
    <row r="1008" spans="1:19" s="95" customFormat="1" ht="15" x14ac:dyDescent="0.25">
      <c r="A1008" s="1"/>
      <c r="B1008"/>
      <c r="C1008"/>
      <c r="D1008"/>
      <c r="E1008"/>
      <c r="F1008"/>
      <c r="G1008"/>
      <c r="H1008"/>
      <c r="I1008"/>
      <c r="J1008" s="10"/>
      <c r="K1008" s="10"/>
      <c r="L1008" s="10"/>
      <c r="M1008" s="10"/>
      <c r="N1008" s="10"/>
      <c r="O1008" s="10"/>
      <c r="P1008" s="10"/>
      <c r="Q1008" s="10"/>
      <c r="R1008" s="10"/>
      <c r="S1008" s="10"/>
    </row>
    <row r="1009" spans="1:19" s="95" customFormat="1" ht="15" x14ac:dyDescent="0.25">
      <c r="A1009" s="1"/>
      <c r="B1009"/>
      <c r="C1009"/>
      <c r="D1009"/>
      <c r="E1009"/>
      <c r="F1009"/>
      <c r="G1009"/>
      <c r="H1009"/>
      <c r="I1009"/>
      <c r="J1009" s="10"/>
      <c r="K1009" s="10"/>
      <c r="L1009" s="10"/>
      <c r="M1009" s="10"/>
      <c r="N1009" s="10"/>
      <c r="O1009" s="10"/>
      <c r="P1009" s="10"/>
      <c r="Q1009" s="10"/>
      <c r="R1009" s="10"/>
      <c r="S1009" s="10"/>
    </row>
    <row r="1010" spans="1:19" s="95" customFormat="1" ht="15" x14ac:dyDescent="0.25">
      <c r="A1010" s="1"/>
      <c r="B1010"/>
      <c r="C1010"/>
      <c r="D1010"/>
      <c r="E1010"/>
      <c r="F1010"/>
      <c r="G1010"/>
      <c r="H1010"/>
      <c r="I1010"/>
      <c r="J1010" s="10"/>
      <c r="K1010" s="10"/>
      <c r="L1010" s="10"/>
      <c r="M1010" s="10"/>
      <c r="N1010" s="10"/>
      <c r="O1010" s="10"/>
      <c r="P1010" s="10"/>
      <c r="Q1010" s="10"/>
      <c r="R1010" s="10"/>
      <c r="S1010" s="10"/>
    </row>
    <row r="1011" spans="1:19" s="95" customFormat="1" ht="15" x14ac:dyDescent="0.25">
      <c r="A1011" s="1"/>
      <c r="B1011"/>
      <c r="C1011"/>
      <c r="D1011"/>
      <c r="E1011"/>
      <c r="F1011"/>
      <c r="G1011"/>
      <c r="H1011"/>
      <c r="I1011"/>
      <c r="J1011" s="10"/>
      <c r="K1011" s="10"/>
      <c r="L1011" s="10"/>
      <c r="M1011" s="10"/>
      <c r="N1011" s="10"/>
      <c r="O1011" s="10"/>
      <c r="P1011" s="10"/>
      <c r="Q1011" s="10"/>
      <c r="R1011" s="10"/>
      <c r="S1011" s="10"/>
    </row>
    <row r="1012" spans="1:19" s="95" customFormat="1" ht="15" x14ac:dyDescent="0.25">
      <c r="A1012" s="1"/>
      <c r="B1012"/>
      <c r="C1012"/>
      <c r="D1012"/>
      <c r="E1012"/>
      <c r="F1012"/>
      <c r="G1012"/>
      <c r="H1012"/>
      <c r="I1012"/>
      <c r="J1012" s="10"/>
      <c r="K1012" s="10"/>
      <c r="L1012" s="10"/>
      <c r="M1012" s="10"/>
      <c r="N1012" s="10"/>
      <c r="O1012" s="10"/>
      <c r="P1012" s="10"/>
      <c r="Q1012" s="10"/>
      <c r="R1012" s="10"/>
      <c r="S1012" s="10"/>
    </row>
    <row r="1013" spans="1:19" s="95" customFormat="1" ht="15" x14ac:dyDescent="0.25">
      <c r="A1013" s="1"/>
      <c r="B1013"/>
      <c r="C1013"/>
      <c r="D1013"/>
      <c r="E1013"/>
      <c r="F1013"/>
      <c r="G1013"/>
      <c r="H1013"/>
      <c r="I1013"/>
      <c r="J1013" s="10"/>
      <c r="K1013" s="10"/>
      <c r="L1013" s="10"/>
      <c r="M1013" s="10"/>
      <c r="N1013" s="10"/>
      <c r="O1013" s="10"/>
      <c r="P1013" s="10"/>
      <c r="Q1013" s="10"/>
      <c r="R1013" s="10"/>
      <c r="S1013" s="10"/>
    </row>
    <row r="1014" spans="1:19" s="95" customFormat="1" ht="15" x14ac:dyDescent="0.25">
      <c r="A1014" s="1"/>
      <c r="B1014"/>
      <c r="C1014"/>
      <c r="D1014"/>
      <c r="E1014"/>
      <c r="F1014"/>
      <c r="G1014"/>
      <c r="H1014"/>
      <c r="I1014"/>
      <c r="J1014" s="10"/>
      <c r="K1014" s="10"/>
      <c r="L1014" s="10"/>
      <c r="M1014" s="10"/>
      <c r="N1014" s="10"/>
      <c r="O1014" s="10"/>
      <c r="P1014" s="10"/>
      <c r="Q1014" s="10"/>
      <c r="R1014" s="10"/>
      <c r="S1014" s="10"/>
    </row>
    <row r="1015" spans="1:19" s="95" customFormat="1" ht="15" x14ac:dyDescent="0.25">
      <c r="A1015" s="1"/>
      <c r="B1015"/>
      <c r="C1015"/>
      <c r="D1015"/>
      <c r="E1015"/>
      <c r="F1015"/>
      <c r="G1015"/>
      <c r="H1015"/>
      <c r="I1015"/>
      <c r="J1015" s="10"/>
      <c r="K1015" s="10"/>
      <c r="L1015" s="10"/>
      <c r="M1015" s="10"/>
      <c r="N1015" s="10"/>
      <c r="O1015" s="10"/>
      <c r="P1015" s="10"/>
      <c r="Q1015" s="10"/>
      <c r="R1015" s="10"/>
      <c r="S1015" s="10"/>
    </row>
    <row r="1016" spans="1:19" s="95" customFormat="1" ht="15" x14ac:dyDescent="0.25">
      <c r="A1016" s="1"/>
      <c r="B1016"/>
      <c r="C1016"/>
      <c r="D1016"/>
      <c r="E1016"/>
      <c r="F1016"/>
      <c r="G1016"/>
      <c r="H1016"/>
      <c r="I1016"/>
      <c r="J1016" s="10"/>
      <c r="K1016" s="10"/>
      <c r="L1016" s="10"/>
      <c r="M1016" s="10"/>
      <c r="N1016" s="10"/>
      <c r="O1016" s="10"/>
      <c r="P1016" s="10"/>
      <c r="Q1016" s="10"/>
      <c r="R1016" s="10"/>
      <c r="S1016" s="10"/>
    </row>
    <row r="1017" spans="1:19" s="95" customFormat="1" ht="15" x14ac:dyDescent="0.25">
      <c r="A1017" s="1"/>
      <c r="B1017"/>
      <c r="C1017"/>
      <c r="D1017"/>
      <c r="E1017"/>
      <c r="F1017"/>
      <c r="G1017"/>
      <c r="H1017"/>
      <c r="I1017"/>
      <c r="J1017" s="10"/>
      <c r="K1017" s="10"/>
      <c r="L1017" s="10"/>
      <c r="M1017" s="10"/>
      <c r="N1017" s="10"/>
      <c r="O1017" s="10"/>
      <c r="P1017" s="10"/>
      <c r="Q1017" s="10"/>
      <c r="R1017" s="10"/>
      <c r="S1017" s="10"/>
    </row>
    <row r="1018" spans="1:19" s="95" customFormat="1" ht="15" x14ac:dyDescent="0.25">
      <c r="A1018" s="1"/>
      <c r="B1018"/>
      <c r="C1018"/>
      <c r="D1018"/>
      <c r="E1018"/>
      <c r="F1018"/>
      <c r="G1018"/>
      <c r="H1018"/>
      <c r="I1018"/>
      <c r="J1018" s="10"/>
      <c r="K1018" s="10"/>
      <c r="L1018" s="10"/>
      <c r="M1018" s="10"/>
      <c r="N1018" s="10"/>
      <c r="O1018" s="10"/>
      <c r="P1018" s="10"/>
      <c r="Q1018" s="10"/>
      <c r="R1018" s="10"/>
      <c r="S1018" s="10"/>
    </row>
    <row r="1019" spans="1:19" s="95" customFormat="1" ht="15" x14ac:dyDescent="0.25">
      <c r="A1019" s="1"/>
      <c r="B1019"/>
      <c r="C1019"/>
      <c r="D1019"/>
      <c r="E1019"/>
      <c r="F1019"/>
      <c r="G1019"/>
      <c r="H1019"/>
      <c r="I1019"/>
      <c r="J1019" s="10"/>
      <c r="K1019" s="10"/>
      <c r="L1019" s="10"/>
      <c r="M1019" s="10"/>
      <c r="N1019" s="10"/>
      <c r="O1019" s="10"/>
      <c r="P1019" s="10"/>
      <c r="Q1019" s="10"/>
      <c r="R1019" s="10"/>
      <c r="S1019" s="10"/>
    </row>
    <row r="1020" spans="1:19" s="95" customFormat="1" ht="15" x14ac:dyDescent="0.25">
      <c r="A1020" s="1"/>
      <c r="B1020"/>
      <c r="C1020"/>
      <c r="D1020"/>
      <c r="E1020"/>
      <c r="F1020"/>
      <c r="G1020"/>
      <c r="H1020"/>
      <c r="I1020"/>
      <c r="J1020" s="10"/>
      <c r="K1020" s="10"/>
      <c r="L1020" s="10"/>
      <c r="M1020" s="10"/>
      <c r="N1020" s="10"/>
      <c r="O1020" s="10"/>
      <c r="P1020" s="10"/>
      <c r="Q1020" s="10"/>
      <c r="R1020" s="10"/>
      <c r="S1020" s="10"/>
    </row>
    <row r="1021" spans="1:19" s="95" customFormat="1" ht="15" x14ac:dyDescent="0.25">
      <c r="A1021" s="1"/>
      <c r="B1021"/>
      <c r="C1021"/>
      <c r="D1021"/>
      <c r="E1021"/>
      <c r="F1021"/>
      <c r="G1021"/>
      <c r="H1021"/>
      <c r="I1021"/>
      <c r="J1021" s="10"/>
      <c r="K1021" s="10"/>
      <c r="L1021" s="10"/>
      <c r="M1021" s="10"/>
      <c r="N1021" s="10"/>
      <c r="O1021" s="10"/>
      <c r="P1021" s="10"/>
      <c r="Q1021" s="10"/>
      <c r="R1021" s="10"/>
      <c r="S1021" s="10"/>
    </row>
    <row r="1022" spans="1:19" s="95" customFormat="1" ht="15" x14ac:dyDescent="0.25">
      <c r="A1022" s="1"/>
      <c r="B1022"/>
      <c r="C1022"/>
      <c r="D1022"/>
      <c r="E1022"/>
      <c r="F1022"/>
      <c r="G1022"/>
      <c r="H1022"/>
      <c r="I1022"/>
      <c r="J1022" s="10"/>
      <c r="K1022" s="10"/>
      <c r="L1022" s="10"/>
      <c r="M1022" s="10"/>
      <c r="N1022" s="10"/>
      <c r="O1022" s="10"/>
      <c r="P1022" s="10"/>
      <c r="Q1022" s="10"/>
      <c r="R1022" s="10"/>
      <c r="S1022" s="10"/>
    </row>
    <row r="1023" spans="1:19" s="95" customFormat="1" ht="15" x14ac:dyDescent="0.25">
      <c r="A1023" s="1"/>
      <c r="B1023"/>
      <c r="C1023"/>
      <c r="D1023"/>
      <c r="E1023"/>
      <c r="F1023"/>
      <c r="G1023"/>
      <c r="H1023"/>
      <c r="I1023"/>
      <c r="J1023" s="10"/>
      <c r="K1023" s="10"/>
      <c r="L1023" s="10"/>
      <c r="M1023" s="10"/>
      <c r="N1023" s="10"/>
      <c r="O1023" s="10"/>
      <c r="P1023" s="10"/>
      <c r="Q1023" s="10"/>
      <c r="R1023" s="10"/>
      <c r="S1023" s="10"/>
    </row>
    <row r="1024" spans="1:19" s="95" customFormat="1" ht="15" x14ac:dyDescent="0.25">
      <c r="A1024" s="1"/>
      <c r="B1024"/>
      <c r="C1024"/>
      <c r="D1024"/>
      <c r="E1024"/>
      <c r="F1024"/>
      <c r="G1024"/>
      <c r="H1024"/>
      <c r="I1024"/>
      <c r="J1024" s="10"/>
      <c r="K1024" s="10"/>
      <c r="L1024" s="10"/>
      <c r="M1024" s="10"/>
      <c r="N1024" s="10"/>
      <c r="O1024" s="10"/>
      <c r="P1024" s="10"/>
      <c r="Q1024" s="10"/>
      <c r="R1024" s="10"/>
      <c r="S1024" s="10"/>
    </row>
    <row r="1025" spans="1:19" s="95" customFormat="1" ht="15" x14ac:dyDescent="0.25">
      <c r="A1025" s="1"/>
      <c r="B1025"/>
      <c r="C1025"/>
      <c r="D1025"/>
      <c r="E1025"/>
      <c r="F1025"/>
      <c r="G1025"/>
      <c r="H1025"/>
      <c r="I1025"/>
      <c r="J1025" s="10"/>
      <c r="K1025" s="10"/>
      <c r="L1025" s="10"/>
      <c r="M1025" s="10"/>
      <c r="N1025" s="10"/>
      <c r="O1025" s="10"/>
      <c r="P1025" s="10"/>
      <c r="Q1025" s="10"/>
      <c r="R1025" s="10"/>
      <c r="S1025" s="10"/>
    </row>
    <row r="1026" spans="1:19" s="95" customFormat="1" ht="15" x14ac:dyDescent="0.25">
      <c r="A1026" s="1"/>
      <c r="B1026"/>
      <c r="C1026"/>
      <c r="D1026"/>
      <c r="E1026"/>
      <c r="F1026"/>
      <c r="G1026"/>
      <c r="H1026"/>
      <c r="I1026"/>
      <c r="J1026" s="10"/>
      <c r="K1026" s="10"/>
      <c r="L1026" s="10"/>
      <c r="M1026" s="10"/>
      <c r="N1026" s="10"/>
      <c r="O1026" s="10"/>
      <c r="P1026" s="10"/>
      <c r="Q1026" s="10"/>
      <c r="R1026" s="10"/>
      <c r="S1026" s="10"/>
    </row>
    <row r="1027" spans="1:19" s="95" customFormat="1" ht="15" x14ac:dyDescent="0.25">
      <c r="A1027" s="1"/>
      <c r="B1027"/>
      <c r="C1027"/>
      <c r="D1027"/>
      <c r="E1027"/>
      <c r="F1027"/>
      <c r="G1027"/>
      <c r="H1027"/>
      <c r="I1027"/>
      <c r="J1027" s="10"/>
      <c r="K1027" s="10"/>
      <c r="L1027" s="10"/>
      <c r="M1027" s="10"/>
      <c r="N1027" s="10"/>
      <c r="O1027" s="10"/>
      <c r="P1027" s="10"/>
      <c r="Q1027" s="10"/>
      <c r="R1027" s="10"/>
      <c r="S1027" s="10"/>
    </row>
    <row r="1028" spans="1:19" s="95" customFormat="1" ht="15" x14ac:dyDescent="0.25">
      <c r="A1028" s="1"/>
      <c r="B1028"/>
      <c r="C1028"/>
      <c r="D1028"/>
      <c r="E1028"/>
      <c r="F1028"/>
      <c r="G1028"/>
      <c r="H1028"/>
      <c r="I1028"/>
      <c r="J1028" s="10"/>
      <c r="K1028" s="10"/>
      <c r="L1028" s="10"/>
      <c r="M1028" s="10"/>
      <c r="N1028" s="10"/>
      <c r="O1028" s="10"/>
      <c r="P1028" s="10"/>
      <c r="Q1028" s="10"/>
      <c r="R1028" s="10"/>
      <c r="S1028" s="10"/>
    </row>
    <row r="1029" spans="1:19" s="95" customFormat="1" ht="15" x14ac:dyDescent="0.25">
      <c r="A1029" s="1"/>
      <c r="B1029"/>
      <c r="C1029"/>
      <c r="D1029"/>
      <c r="E1029"/>
      <c r="F1029"/>
      <c r="G1029"/>
      <c r="H1029"/>
      <c r="I1029"/>
      <c r="J1029" s="10"/>
      <c r="K1029" s="10"/>
      <c r="L1029" s="10"/>
      <c r="M1029" s="10"/>
      <c r="N1029" s="10"/>
      <c r="O1029" s="10"/>
      <c r="P1029" s="10"/>
      <c r="Q1029" s="10"/>
      <c r="R1029" s="10"/>
      <c r="S1029" s="10"/>
    </row>
    <row r="1030" spans="1:19" s="95" customFormat="1" ht="15" x14ac:dyDescent="0.25">
      <c r="A1030" s="1"/>
      <c r="B1030"/>
      <c r="C1030"/>
      <c r="D1030"/>
      <c r="E1030"/>
      <c r="F1030"/>
      <c r="G1030"/>
      <c r="H1030"/>
      <c r="I1030"/>
      <c r="J1030" s="10"/>
      <c r="K1030" s="10"/>
      <c r="L1030" s="10"/>
      <c r="M1030" s="10"/>
      <c r="N1030" s="10"/>
      <c r="O1030" s="10"/>
      <c r="P1030" s="10"/>
      <c r="Q1030" s="10"/>
      <c r="R1030" s="10"/>
      <c r="S1030" s="10"/>
    </row>
    <row r="1031" spans="1:19" s="95" customFormat="1" ht="15" x14ac:dyDescent="0.25">
      <c r="A1031" s="1"/>
      <c r="B1031"/>
      <c r="C1031"/>
      <c r="D1031"/>
      <c r="E1031"/>
      <c r="F1031"/>
      <c r="G1031"/>
      <c r="H1031"/>
      <c r="I1031"/>
      <c r="J1031" s="10"/>
      <c r="K1031" s="10"/>
      <c r="L1031" s="10"/>
      <c r="M1031" s="10"/>
      <c r="N1031" s="10"/>
      <c r="O1031" s="10"/>
      <c r="P1031" s="10"/>
      <c r="Q1031" s="10"/>
      <c r="R1031" s="10"/>
      <c r="S1031" s="10"/>
    </row>
    <row r="1032" spans="1:19" s="95" customFormat="1" ht="15" x14ac:dyDescent="0.25">
      <c r="A1032" s="1"/>
      <c r="B1032"/>
      <c r="C1032"/>
      <c r="D1032"/>
      <c r="E1032"/>
      <c r="F1032"/>
      <c r="G1032"/>
      <c r="H1032"/>
      <c r="I1032"/>
      <c r="J1032" s="10"/>
      <c r="K1032" s="10"/>
      <c r="L1032" s="10"/>
      <c r="M1032" s="10"/>
      <c r="N1032" s="10"/>
      <c r="O1032" s="10"/>
      <c r="P1032" s="10"/>
      <c r="Q1032" s="10"/>
      <c r="R1032" s="10"/>
      <c r="S1032" s="10"/>
    </row>
    <row r="1033" spans="1:19" s="95" customFormat="1" ht="15" x14ac:dyDescent="0.25">
      <c r="A1033" s="1"/>
      <c r="B1033"/>
      <c r="C1033"/>
      <c r="D1033"/>
      <c r="E1033"/>
      <c r="F1033"/>
      <c r="G1033"/>
      <c r="H1033"/>
      <c r="I1033"/>
      <c r="J1033" s="10"/>
      <c r="K1033" s="10"/>
      <c r="L1033" s="10"/>
      <c r="M1033" s="10"/>
      <c r="N1033" s="10"/>
      <c r="O1033" s="10"/>
      <c r="P1033" s="10"/>
      <c r="Q1033" s="10"/>
      <c r="R1033" s="10"/>
      <c r="S1033" s="10"/>
    </row>
    <row r="1034" spans="1:19" s="95" customFormat="1" ht="15" x14ac:dyDescent="0.25">
      <c r="A1034" s="1"/>
      <c r="B1034"/>
      <c r="C1034"/>
      <c r="D1034"/>
      <c r="E1034"/>
      <c r="F1034"/>
      <c r="G1034"/>
      <c r="H1034"/>
      <c r="I1034"/>
      <c r="J1034" s="10"/>
      <c r="K1034" s="10"/>
      <c r="L1034" s="10"/>
      <c r="M1034" s="10"/>
      <c r="N1034" s="10"/>
      <c r="O1034" s="10"/>
      <c r="P1034" s="10"/>
      <c r="Q1034" s="10"/>
      <c r="R1034" s="10"/>
      <c r="S1034" s="10"/>
    </row>
    <row r="1035" spans="1:19" s="95" customFormat="1" ht="15" x14ac:dyDescent="0.25">
      <c r="A1035" s="1"/>
      <c r="B1035"/>
      <c r="C1035"/>
      <c r="D1035"/>
      <c r="E1035"/>
      <c r="F1035"/>
      <c r="G1035"/>
      <c r="H1035"/>
      <c r="I1035"/>
      <c r="J1035" s="10"/>
      <c r="K1035" s="10"/>
      <c r="L1035" s="10"/>
      <c r="M1035" s="10"/>
      <c r="N1035" s="10"/>
      <c r="O1035" s="10"/>
      <c r="P1035" s="10"/>
      <c r="Q1035" s="10"/>
      <c r="R1035" s="10"/>
      <c r="S1035" s="10"/>
    </row>
    <row r="1036" spans="1:19" s="95" customFormat="1" ht="15" x14ac:dyDescent="0.25">
      <c r="A1036" s="1"/>
      <c r="B1036"/>
      <c r="C1036"/>
      <c r="D1036"/>
      <c r="E1036"/>
      <c r="F1036"/>
      <c r="G1036"/>
      <c r="H1036"/>
      <c r="I1036"/>
      <c r="J1036" s="10"/>
      <c r="K1036" s="10"/>
      <c r="L1036" s="10"/>
      <c r="M1036" s="10"/>
      <c r="N1036" s="10"/>
      <c r="O1036" s="10"/>
      <c r="P1036" s="10"/>
      <c r="Q1036" s="10"/>
      <c r="R1036" s="10"/>
      <c r="S1036" s="10"/>
    </row>
    <row r="1037" spans="1:19" s="95" customFormat="1" ht="15" x14ac:dyDescent="0.25">
      <c r="A1037" s="1"/>
      <c r="B1037"/>
      <c r="C1037"/>
      <c r="D1037"/>
      <c r="E1037"/>
      <c r="F1037"/>
      <c r="G1037"/>
      <c r="H1037"/>
      <c r="I1037"/>
      <c r="J1037" s="10"/>
      <c r="K1037" s="10"/>
      <c r="L1037" s="10"/>
      <c r="M1037" s="10"/>
      <c r="N1037" s="10"/>
      <c r="O1037" s="10"/>
      <c r="P1037" s="10"/>
      <c r="Q1037" s="10"/>
      <c r="R1037" s="10"/>
      <c r="S1037" s="10"/>
    </row>
    <row r="1038" spans="1:19" s="95" customFormat="1" ht="15" x14ac:dyDescent="0.25">
      <c r="A1038" s="1"/>
      <c r="B1038"/>
      <c r="C1038"/>
      <c r="D1038"/>
      <c r="E1038"/>
      <c r="F1038"/>
      <c r="G1038"/>
      <c r="H1038"/>
      <c r="I1038"/>
      <c r="J1038" s="10"/>
      <c r="K1038" s="10"/>
      <c r="L1038" s="10"/>
      <c r="M1038" s="10"/>
      <c r="N1038" s="10"/>
      <c r="O1038" s="10"/>
      <c r="P1038" s="10"/>
      <c r="Q1038" s="10"/>
      <c r="R1038" s="10"/>
      <c r="S1038" s="10"/>
    </row>
    <row r="1039" spans="1:19" ht="15" x14ac:dyDescent="0.25">
      <c r="B1039"/>
      <c r="C1039"/>
      <c r="D1039"/>
      <c r="E1039"/>
      <c r="F1039"/>
      <c r="G1039"/>
      <c r="H1039"/>
      <c r="I1039"/>
      <c r="J1039" s="71"/>
      <c r="K1039" s="71"/>
      <c r="L1039" s="71"/>
      <c r="M1039" s="71"/>
      <c r="N1039" s="71"/>
      <c r="O1039" s="71"/>
      <c r="P1039" s="71"/>
      <c r="Q1039" s="71"/>
      <c r="R1039" s="71"/>
      <c r="S1039" s="71"/>
    </row>
    <row r="1040" spans="1:19" ht="15" x14ac:dyDescent="0.25">
      <c r="B1040"/>
      <c r="C1040"/>
      <c r="D1040"/>
      <c r="E1040"/>
      <c r="F1040"/>
      <c r="G1040"/>
      <c r="H1040"/>
      <c r="I1040"/>
      <c r="J1040" s="71"/>
      <c r="K1040" s="71"/>
      <c r="L1040" s="71"/>
      <c r="M1040" s="71"/>
      <c r="N1040" s="71"/>
      <c r="O1040" s="71"/>
      <c r="P1040" s="71"/>
      <c r="Q1040" s="71"/>
      <c r="R1040" s="71"/>
      <c r="S1040" s="71"/>
    </row>
    <row r="1041" spans="2:19" ht="15" x14ac:dyDescent="0.25">
      <c r="B1041"/>
      <c r="C1041"/>
      <c r="D1041"/>
      <c r="E1041"/>
      <c r="F1041"/>
      <c r="G1041"/>
      <c r="H1041"/>
      <c r="I1041"/>
      <c r="J1041" s="71"/>
      <c r="K1041" s="71"/>
      <c r="L1041" s="71"/>
      <c r="M1041" s="71"/>
      <c r="N1041" s="71"/>
      <c r="O1041" s="71"/>
      <c r="P1041" s="71"/>
      <c r="Q1041" s="71"/>
      <c r="R1041" s="71"/>
      <c r="S1041" s="71"/>
    </row>
    <row r="1042" spans="2:19" ht="15" x14ac:dyDescent="0.25">
      <c r="B1042"/>
      <c r="C1042"/>
      <c r="D1042"/>
      <c r="E1042"/>
      <c r="F1042"/>
      <c r="G1042"/>
      <c r="H1042"/>
      <c r="I1042"/>
      <c r="J1042" s="71"/>
      <c r="K1042" s="71"/>
      <c r="L1042" s="71"/>
      <c r="M1042" s="71"/>
      <c r="N1042" s="71"/>
      <c r="O1042" s="71"/>
      <c r="P1042" s="71"/>
      <c r="Q1042" s="71"/>
      <c r="R1042" s="71"/>
      <c r="S1042" s="71"/>
    </row>
    <row r="1043" spans="2:19" ht="15" x14ac:dyDescent="0.25">
      <c r="B1043"/>
      <c r="C1043"/>
      <c r="D1043"/>
      <c r="E1043"/>
      <c r="F1043"/>
      <c r="G1043"/>
      <c r="H1043"/>
      <c r="I1043"/>
      <c r="J1043" s="71"/>
      <c r="K1043" s="71"/>
      <c r="L1043" s="71"/>
      <c r="M1043" s="71"/>
      <c r="N1043" s="71"/>
      <c r="O1043" s="71"/>
      <c r="P1043" s="71"/>
      <c r="Q1043" s="71"/>
      <c r="R1043" s="71"/>
      <c r="S1043" s="71"/>
    </row>
    <row r="1044" spans="2:19" ht="15" x14ac:dyDescent="0.25">
      <c r="B1044"/>
      <c r="C1044"/>
      <c r="D1044"/>
      <c r="E1044"/>
      <c r="F1044"/>
      <c r="G1044"/>
      <c r="H1044"/>
      <c r="I1044"/>
      <c r="J1044" s="71"/>
      <c r="K1044" s="71"/>
      <c r="L1044" s="71"/>
      <c r="M1044" s="71"/>
      <c r="N1044" s="71"/>
      <c r="O1044" s="71"/>
      <c r="P1044" s="71"/>
      <c r="Q1044" s="71"/>
      <c r="R1044" s="71"/>
      <c r="S1044" s="71"/>
    </row>
    <row r="1045" spans="2:19" ht="15" x14ac:dyDescent="0.25">
      <c r="B1045"/>
      <c r="C1045"/>
      <c r="D1045"/>
      <c r="E1045"/>
      <c r="F1045"/>
      <c r="G1045"/>
      <c r="H1045"/>
      <c r="I1045"/>
      <c r="J1045" s="71"/>
      <c r="K1045" s="71"/>
      <c r="L1045" s="71"/>
      <c r="M1045" s="71"/>
      <c r="N1045" s="71"/>
      <c r="O1045" s="71"/>
      <c r="P1045" s="71"/>
      <c r="Q1045" s="71"/>
      <c r="R1045" s="71"/>
      <c r="S1045" s="71"/>
    </row>
    <row r="1046" spans="2:19" ht="15" x14ac:dyDescent="0.25">
      <c r="B1046"/>
      <c r="C1046"/>
      <c r="D1046"/>
      <c r="E1046"/>
      <c r="F1046"/>
      <c r="G1046"/>
      <c r="H1046"/>
      <c r="I1046"/>
      <c r="J1046" s="71"/>
      <c r="K1046" s="71"/>
      <c r="L1046" s="71"/>
      <c r="M1046" s="71"/>
      <c r="N1046" s="71"/>
      <c r="O1046" s="71"/>
      <c r="P1046" s="71"/>
      <c r="Q1046" s="71"/>
      <c r="R1046" s="71"/>
      <c r="S1046" s="71"/>
    </row>
    <row r="1047" spans="2:19" ht="15" x14ac:dyDescent="0.25">
      <c r="B1047"/>
      <c r="C1047"/>
      <c r="D1047"/>
      <c r="E1047"/>
      <c r="F1047"/>
      <c r="G1047"/>
      <c r="H1047"/>
      <c r="I1047"/>
      <c r="J1047" s="71"/>
      <c r="K1047" s="71"/>
      <c r="L1047" s="71"/>
      <c r="M1047" s="71"/>
      <c r="N1047" s="71"/>
      <c r="O1047" s="71"/>
      <c r="P1047" s="71"/>
      <c r="Q1047" s="71"/>
      <c r="R1047" s="71"/>
      <c r="S1047" s="71"/>
    </row>
    <row r="1048" spans="2:19" ht="15" x14ac:dyDescent="0.25">
      <c r="B1048"/>
      <c r="C1048"/>
      <c r="D1048"/>
      <c r="E1048"/>
      <c r="F1048"/>
      <c r="G1048"/>
      <c r="H1048"/>
      <c r="I1048"/>
      <c r="J1048" s="71"/>
      <c r="K1048" s="71"/>
      <c r="L1048" s="71"/>
      <c r="M1048" s="71"/>
      <c r="N1048" s="71"/>
      <c r="O1048" s="71"/>
      <c r="P1048" s="71"/>
      <c r="Q1048" s="71"/>
      <c r="R1048" s="71"/>
      <c r="S1048" s="71"/>
    </row>
    <row r="1049" spans="2:19" ht="15" x14ac:dyDescent="0.25">
      <c r="B1049"/>
      <c r="C1049"/>
      <c r="D1049"/>
      <c r="E1049"/>
      <c r="F1049"/>
      <c r="G1049"/>
      <c r="H1049"/>
      <c r="I1049"/>
      <c r="J1049" s="71"/>
      <c r="K1049" s="71"/>
      <c r="L1049" s="71"/>
      <c r="M1049" s="71"/>
      <c r="N1049" s="71"/>
      <c r="O1049" s="71"/>
      <c r="P1049" s="71"/>
      <c r="Q1049" s="71"/>
      <c r="R1049" s="71"/>
      <c r="S1049" s="71"/>
    </row>
    <row r="1050" spans="2:19" ht="15" x14ac:dyDescent="0.25">
      <c r="B1050"/>
      <c r="C1050"/>
      <c r="D1050"/>
      <c r="E1050"/>
      <c r="F1050"/>
      <c r="G1050"/>
      <c r="H1050"/>
      <c r="I1050"/>
      <c r="J1050" s="71"/>
      <c r="K1050" s="71"/>
      <c r="L1050" s="71"/>
      <c r="M1050" s="71"/>
      <c r="N1050" s="71"/>
      <c r="O1050" s="71"/>
      <c r="P1050" s="71"/>
      <c r="Q1050" s="71"/>
      <c r="R1050" s="71"/>
      <c r="S1050" s="71"/>
    </row>
    <row r="1051" spans="2:19" ht="15" x14ac:dyDescent="0.25">
      <c r="B1051"/>
      <c r="C1051"/>
      <c r="D1051"/>
      <c r="E1051"/>
      <c r="F1051"/>
      <c r="G1051"/>
      <c r="H1051"/>
      <c r="I1051"/>
      <c r="J1051" s="71"/>
      <c r="K1051" s="71"/>
      <c r="L1051" s="71"/>
      <c r="M1051" s="71"/>
      <c r="N1051" s="71"/>
      <c r="O1051" s="71"/>
      <c r="P1051" s="71"/>
      <c r="Q1051" s="71"/>
      <c r="R1051" s="71"/>
      <c r="S1051" s="71"/>
    </row>
    <row r="1052" spans="2:19" ht="15" x14ac:dyDescent="0.25">
      <c r="B1052"/>
      <c r="C1052"/>
      <c r="D1052"/>
      <c r="E1052"/>
      <c r="F1052"/>
      <c r="G1052"/>
      <c r="H1052"/>
      <c r="I1052"/>
      <c r="J1052" s="71"/>
      <c r="K1052" s="71"/>
      <c r="L1052" s="71"/>
      <c r="M1052" s="71"/>
      <c r="N1052" s="71"/>
      <c r="O1052" s="71"/>
      <c r="P1052" s="71"/>
      <c r="Q1052" s="71"/>
      <c r="R1052" s="71"/>
      <c r="S1052" s="71"/>
    </row>
    <row r="1053" spans="2:19" ht="15" x14ac:dyDescent="0.25">
      <c r="B1053"/>
      <c r="C1053"/>
      <c r="D1053"/>
      <c r="E1053"/>
      <c r="F1053"/>
      <c r="G1053"/>
      <c r="H1053"/>
      <c r="I1053"/>
      <c r="J1053" s="71"/>
      <c r="K1053" s="71"/>
      <c r="L1053" s="71"/>
      <c r="M1053" s="71"/>
      <c r="N1053" s="71"/>
      <c r="O1053" s="71"/>
      <c r="P1053" s="71"/>
      <c r="Q1053" s="71"/>
      <c r="R1053" s="71"/>
      <c r="S1053" s="71"/>
    </row>
    <row r="1054" spans="2:19" ht="15" x14ac:dyDescent="0.25">
      <c r="B1054"/>
      <c r="C1054"/>
      <c r="D1054"/>
      <c r="E1054"/>
      <c r="F1054"/>
      <c r="G1054"/>
      <c r="H1054"/>
      <c r="I1054"/>
      <c r="J1054" s="71"/>
      <c r="K1054" s="71"/>
      <c r="L1054" s="71"/>
      <c r="M1054" s="71"/>
      <c r="N1054" s="71"/>
      <c r="O1054" s="71"/>
      <c r="P1054" s="71"/>
      <c r="Q1054" s="71"/>
      <c r="R1054" s="71"/>
      <c r="S1054" s="71"/>
    </row>
    <row r="1055" spans="2:19" ht="15" x14ac:dyDescent="0.25">
      <c r="B1055"/>
      <c r="C1055"/>
      <c r="D1055"/>
      <c r="E1055"/>
      <c r="F1055"/>
      <c r="G1055"/>
      <c r="H1055"/>
      <c r="I1055"/>
      <c r="J1055" s="71"/>
      <c r="K1055" s="71"/>
      <c r="L1055" s="71"/>
      <c r="M1055" s="71"/>
      <c r="N1055" s="71"/>
      <c r="O1055" s="71"/>
      <c r="P1055" s="71"/>
      <c r="Q1055" s="71"/>
      <c r="R1055" s="71"/>
      <c r="S1055" s="71"/>
    </row>
    <row r="1056" spans="2:19" ht="15" x14ac:dyDescent="0.25">
      <c r="B1056"/>
      <c r="C1056"/>
      <c r="D1056"/>
      <c r="E1056"/>
      <c r="F1056"/>
      <c r="G1056"/>
      <c r="H1056"/>
      <c r="I1056"/>
      <c r="J1056" s="71"/>
      <c r="K1056" s="71"/>
      <c r="L1056" s="71"/>
      <c r="M1056" s="71"/>
      <c r="N1056" s="71"/>
      <c r="O1056" s="71"/>
      <c r="P1056" s="71"/>
      <c r="Q1056" s="71"/>
      <c r="R1056" s="71"/>
      <c r="S1056" s="71"/>
    </row>
    <row r="1057" spans="2:19" ht="15" x14ac:dyDescent="0.25">
      <c r="B1057"/>
      <c r="C1057"/>
      <c r="D1057"/>
      <c r="E1057"/>
      <c r="F1057"/>
      <c r="G1057"/>
      <c r="H1057"/>
      <c r="I1057"/>
      <c r="J1057" s="71"/>
      <c r="K1057" s="71"/>
      <c r="L1057" s="71"/>
      <c r="M1057" s="71"/>
      <c r="N1057" s="71"/>
      <c r="O1057" s="71"/>
      <c r="P1057" s="71"/>
      <c r="Q1057" s="71"/>
      <c r="R1057" s="71"/>
      <c r="S1057" s="71"/>
    </row>
    <row r="1058" spans="2:19" ht="15" x14ac:dyDescent="0.25">
      <c r="B1058"/>
      <c r="C1058"/>
      <c r="D1058"/>
      <c r="E1058"/>
      <c r="F1058"/>
      <c r="G1058"/>
      <c r="H1058"/>
      <c r="I1058"/>
      <c r="J1058" s="71"/>
      <c r="K1058" s="71"/>
      <c r="L1058" s="71"/>
      <c r="M1058" s="71"/>
      <c r="N1058" s="71"/>
      <c r="O1058" s="71"/>
      <c r="P1058" s="71"/>
      <c r="Q1058" s="71"/>
      <c r="R1058" s="71"/>
      <c r="S1058" s="71"/>
    </row>
    <row r="1059" spans="2:19" ht="15" x14ac:dyDescent="0.25">
      <c r="B1059"/>
      <c r="C1059"/>
      <c r="D1059"/>
      <c r="E1059"/>
      <c r="F1059"/>
      <c r="G1059"/>
      <c r="H1059"/>
      <c r="I1059"/>
      <c r="J1059" s="71"/>
      <c r="K1059" s="71"/>
      <c r="L1059" s="71"/>
      <c r="M1059" s="71"/>
      <c r="N1059" s="71"/>
      <c r="O1059" s="71"/>
      <c r="P1059" s="71"/>
      <c r="Q1059" s="71"/>
      <c r="R1059" s="71"/>
      <c r="S1059" s="71"/>
    </row>
    <row r="1060" spans="2:19" ht="15" x14ac:dyDescent="0.25">
      <c r="B1060"/>
      <c r="C1060"/>
      <c r="D1060"/>
      <c r="E1060"/>
      <c r="F1060"/>
      <c r="G1060"/>
      <c r="H1060"/>
      <c r="I1060"/>
      <c r="J1060" s="71"/>
      <c r="K1060" s="71"/>
      <c r="L1060" s="71"/>
      <c r="M1060" s="71"/>
      <c r="N1060" s="71"/>
      <c r="O1060" s="71"/>
      <c r="P1060" s="71"/>
      <c r="Q1060" s="71"/>
      <c r="R1060" s="71"/>
      <c r="S1060" s="71"/>
    </row>
    <row r="1061" spans="2:19" ht="15" x14ac:dyDescent="0.25">
      <c r="B1061"/>
      <c r="C1061"/>
      <c r="D1061"/>
      <c r="E1061"/>
      <c r="F1061"/>
      <c r="G1061"/>
      <c r="H1061"/>
      <c r="I1061"/>
      <c r="J1061" s="71"/>
      <c r="K1061" s="71"/>
      <c r="L1061" s="71"/>
      <c r="M1061" s="71"/>
      <c r="N1061" s="71"/>
      <c r="O1061" s="71"/>
      <c r="P1061" s="71"/>
      <c r="Q1061" s="71"/>
      <c r="R1061" s="71"/>
      <c r="S1061" s="71"/>
    </row>
    <row r="1062" spans="2:19" ht="15" x14ac:dyDescent="0.25">
      <c r="B1062"/>
      <c r="C1062"/>
      <c r="D1062"/>
      <c r="E1062"/>
      <c r="F1062"/>
      <c r="G1062"/>
      <c r="H1062"/>
      <c r="I1062"/>
      <c r="J1062" s="71"/>
      <c r="K1062" s="71"/>
      <c r="L1062" s="71"/>
      <c r="M1062" s="71"/>
      <c r="N1062" s="71"/>
      <c r="O1062" s="71"/>
      <c r="P1062" s="71"/>
      <c r="Q1062" s="71"/>
      <c r="R1062" s="71"/>
      <c r="S1062" s="71"/>
    </row>
    <row r="1063" spans="2:19" ht="15" x14ac:dyDescent="0.25">
      <c r="B1063"/>
      <c r="C1063"/>
      <c r="D1063"/>
      <c r="E1063"/>
      <c r="F1063"/>
      <c r="G1063"/>
      <c r="H1063"/>
      <c r="I1063"/>
      <c r="J1063" s="71"/>
      <c r="K1063" s="71"/>
      <c r="L1063" s="71"/>
      <c r="M1063" s="71"/>
      <c r="N1063" s="71"/>
      <c r="O1063" s="71"/>
      <c r="P1063" s="71"/>
      <c r="Q1063" s="71"/>
      <c r="R1063" s="71"/>
      <c r="S1063" s="71"/>
    </row>
    <row r="1064" spans="2:19" ht="15" x14ac:dyDescent="0.25">
      <c r="B1064"/>
      <c r="C1064"/>
      <c r="D1064"/>
      <c r="E1064"/>
      <c r="F1064"/>
      <c r="G1064"/>
      <c r="H1064"/>
      <c r="I1064"/>
      <c r="J1064" s="71"/>
      <c r="K1064" s="71"/>
      <c r="L1064" s="71"/>
      <c r="M1064" s="71"/>
      <c r="N1064" s="71"/>
      <c r="O1064" s="71"/>
      <c r="P1064" s="71"/>
      <c r="Q1064" s="71"/>
      <c r="R1064" s="71"/>
      <c r="S1064" s="71"/>
    </row>
    <row r="1065" spans="2:19" ht="15" x14ac:dyDescent="0.25">
      <c r="B1065"/>
      <c r="C1065"/>
      <c r="D1065"/>
      <c r="E1065"/>
      <c r="F1065"/>
      <c r="G1065"/>
      <c r="H1065"/>
      <c r="I1065"/>
      <c r="J1065" s="71"/>
      <c r="K1065" s="71"/>
      <c r="L1065" s="71"/>
      <c r="M1065" s="71"/>
      <c r="N1065" s="71"/>
      <c r="O1065" s="71"/>
      <c r="P1065" s="71"/>
      <c r="Q1065" s="71"/>
      <c r="R1065" s="71"/>
      <c r="S1065" s="71"/>
    </row>
    <row r="1066" spans="2:19" ht="15" x14ac:dyDescent="0.25">
      <c r="B1066"/>
      <c r="C1066"/>
      <c r="D1066"/>
      <c r="E1066"/>
      <c r="F1066"/>
      <c r="G1066"/>
      <c r="H1066"/>
      <c r="I1066"/>
      <c r="J1066" s="71"/>
      <c r="K1066" s="71"/>
      <c r="L1066" s="71"/>
      <c r="M1066" s="71"/>
      <c r="N1066" s="71"/>
      <c r="O1066" s="71"/>
      <c r="P1066" s="71"/>
      <c r="Q1066" s="71"/>
      <c r="R1066" s="71"/>
      <c r="S1066" s="71"/>
    </row>
    <row r="1067" spans="2:19" ht="15" x14ac:dyDescent="0.25">
      <c r="B1067"/>
      <c r="C1067"/>
      <c r="D1067"/>
      <c r="E1067"/>
      <c r="F1067"/>
      <c r="G1067"/>
      <c r="H1067"/>
      <c r="I1067"/>
      <c r="J1067" s="71"/>
      <c r="K1067" s="71"/>
      <c r="L1067" s="71"/>
      <c r="M1067" s="71"/>
      <c r="N1067" s="71"/>
      <c r="O1067" s="71"/>
      <c r="P1067" s="71"/>
      <c r="Q1067" s="71"/>
      <c r="R1067" s="71"/>
      <c r="S1067" s="71"/>
    </row>
    <row r="1068" spans="2:19" ht="15" x14ac:dyDescent="0.25">
      <c r="B1068"/>
      <c r="C1068"/>
      <c r="D1068"/>
      <c r="E1068"/>
      <c r="F1068"/>
      <c r="G1068"/>
      <c r="H1068"/>
      <c r="I1068"/>
      <c r="J1068" s="71"/>
      <c r="K1068" s="71"/>
      <c r="L1068" s="71"/>
      <c r="M1068" s="71"/>
      <c r="N1068" s="71"/>
      <c r="O1068" s="71"/>
      <c r="P1068" s="71"/>
      <c r="Q1068" s="71"/>
      <c r="R1068" s="71"/>
      <c r="S1068" s="71"/>
    </row>
    <row r="1069" spans="2:19" ht="15" x14ac:dyDescent="0.25">
      <c r="B1069"/>
      <c r="C1069"/>
      <c r="D1069"/>
      <c r="E1069"/>
      <c r="F1069"/>
      <c r="G1069"/>
      <c r="H1069"/>
      <c r="I1069"/>
      <c r="J1069" s="71"/>
      <c r="K1069" s="71"/>
      <c r="L1069" s="71"/>
      <c r="M1069" s="71"/>
      <c r="N1069" s="71"/>
      <c r="O1069" s="71"/>
      <c r="P1069" s="71"/>
      <c r="Q1069" s="71"/>
      <c r="R1069" s="71"/>
      <c r="S1069" s="71"/>
    </row>
    <row r="1070" spans="2:19" ht="15" x14ac:dyDescent="0.25">
      <c r="B1070"/>
      <c r="C1070"/>
      <c r="D1070"/>
      <c r="E1070"/>
      <c r="F1070"/>
      <c r="G1070"/>
      <c r="H1070"/>
      <c r="I1070"/>
      <c r="J1070" s="71"/>
      <c r="K1070" s="71"/>
      <c r="L1070" s="71"/>
      <c r="M1070" s="71"/>
      <c r="N1070" s="71"/>
      <c r="O1070" s="71"/>
      <c r="P1070" s="71"/>
      <c r="Q1070" s="71"/>
      <c r="R1070" s="71"/>
      <c r="S1070" s="71"/>
    </row>
    <row r="1071" spans="2:19" ht="15" x14ac:dyDescent="0.25">
      <c r="B1071"/>
      <c r="C1071"/>
      <c r="D1071"/>
      <c r="E1071"/>
      <c r="F1071"/>
      <c r="G1071"/>
      <c r="H1071"/>
      <c r="I1071"/>
      <c r="J1071" s="71"/>
      <c r="K1071" s="71"/>
      <c r="L1071" s="71"/>
      <c r="M1071" s="71"/>
      <c r="N1071" s="71"/>
      <c r="O1071" s="71"/>
      <c r="P1071" s="71"/>
      <c r="Q1071" s="71"/>
      <c r="R1071" s="71"/>
      <c r="S1071" s="71"/>
    </row>
    <row r="1072" spans="2:19" ht="15" x14ac:dyDescent="0.25">
      <c r="B1072"/>
      <c r="C1072"/>
      <c r="D1072"/>
      <c r="E1072"/>
      <c r="F1072"/>
      <c r="G1072"/>
      <c r="H1072"/>
      <c r="I1072"/>
      <c r="J1072" s="71"/>
      <c r="K1072" s="71"/>
      <c r="L1072" s="71"/>
      <c r="M1072" s="71"/>
      <c r="N1072" s="71"/>
      <c r="O1072" s="71"/>
      <c r="P1072" s="71"/>
      <c r="Q1072" s="71"/>
      <c r="R1072" s="71"/>
      <c r="S1072" s="71"/>
    </row>
    <row r="1073" spans="2:19" ht="15" x14ac:dyDescent="0.25">
      <c r="B1073"/>
      <c r="C1073"/>
      <c r="D1073"/>
      <c r="E1073"/>
      <c r="F1073"/>
      <c r="G1073"/>
      <c r="H1073"/>
      <c r="I1073"/>
      <c r="J1073" s="71"/>
      <c r="K1073" s="71"/>
      <c r="L1073" s="71"/>
      <c r="M1073" s="71"/>
      <c r="N1073" s="71"/>
      <c r="O1073" s="71"/>
      <c r="P1073" s="71"/>
      <c r="Q1073" s="71"/>
      <c r="R1073" s="71"/>
      <c r="S1073" s="71"/>
    </row>
    <row r="1074" spans="2:19" ht="15" x14ac:dyDescent="0.25">
      <c r="B1074"/>
      <c r="C1074"/>
      <c r="D1074"/>
      <c r="E1074"/>
      <c r="F1074"/>
      <c r="G1074"/>
      <c r="H1074"/>
      <c r="I1074"/>
      <c r="J1074" s="71"/>
      <c r="K1074" s="71"/>
      <c r="L1074" s="71"/>
      <c r="M1074" s="71"/>
      <c r="N1074" s="71"/>
      <c r="O1074" s="71"/>
      <c r="P1074" s="71"/>
      <c r="Q1074" s="71"/>
      <c r="R1074" s="71"/>
      <c r="S1074" s="71"/>
    </row>
    <row r="1075" spans="2:19" ht="15" x14ac:dyDescent="0.25">
      <c r="B1075"/>
      <c r="C1075"/>
      <c r="D1075"/>
      <c r="E1075"/>
      <c r="F1075"/>
      <c r="G1075"/>
      <c r="H1075"/>
      <c r="I1075"/>
      <c r="J1075" s="71"/>
      <c r="K1075" s="71"/>
      <c r="L1075" s="71"/>
      <c r="M1075" s="71"/>
      <c r="N1075" s="71"/>
      <c r="O1075" s="71"/>
      <c r="P1075" s="71"/>
      <c r="Q1075" s="71"/>
      <c r="R1075" s="71"/>
      <c r="S1075" s="71"/>
    </row>
    <row r="1076" spans="2:19" ht="15" x14ac:dyDescent="0.25">
      <c r="B1076"/>
      <c r="C1076"/>
      <c r="D1076"/>
      <c r="E1076"/>
      <c r="F1076"/>
      <c r="G1076"/>
      <c r="H1076"/>
      <c r="I1076"/>
      <c r="J1076" s="71"/>
      <c r="K1076" s="71"/>
      <c r="L1076" s="71"/>
      <c r="M1076" s="71"/>
      <c r="N1076" s="71"/>
      <c r="O1076" s="71"/>
      <c r="P1076" s="71"/>
      <c r="Q1076" s="71"/>
      <c r="R1076" s="71"/>
      <c r="S1076" s="71"/>
    </row>
    <row r="1077" spans="2:19" ht="15" x14ac:dyDescent="0.25">
      <c r="B1077"/>
      <c r="C1077"/>
      <c r="D1077"/>
      <c r="E1077"/>
      <c r="F1077"/>
      <c r="G1077"/>
      <c r="H1077"/>
      <c r="I1077"/>
      <c r="J1077" s="71"/>
      <c r="K1077" s="71"/>
      <c r="L1077" s="71"/>
      <c r="M1077" s="71"/>
      <c r="N1077" s="71"/>
      <c r="O1077" s="71"/>
      <c r="P1077" s="71"/>
      <c r="Q1077" s="71"/>
      <c r="R1077" s="71"/>
      <c r="S1077" s="71"/>
    </row>
    <row r="1078" spans="2:19" ht="15" x14ac:dyDescent="0.25">
      <c r="B1078"/>
      <c r="C1078"/>
      <c r="D1078"/>
      <c r="E1078"/>
      <c r="F1078"/>
      <c r="G1078"/>
      <c r="H1078"/>
      <c r="I1078"/>
      <c r="J1078" s="71"/>
      <c r="K1078" s="71"/>
      <c r="L1078" s="71"/>
      <c r="M1078" s="71"/>
      <c r="N1078" s="71"/>
      <c r="O1078" s="71"/>
      <c r="P1078" s="71"/>
      <c r="Q1078" s="71"/>
      <c r="R1078" s="71"/>
      <c r="S1078" s="71"/>
    </row>
    <row r="1079" spans="2:19" ht="15" x14ac:dyDescent="0.25">
      <c r="B1079"/>
      <c r="C1079"/>
      <c r="D1079"/>
      <c r="E1079"/>
      <c r="F1079"/>
      <c r="G1079"/>
      <c r="H1079"/>
      <c r="I1079"/>
      <c r="J1079" s="71"/>
      <c r="K1079" s="71"/>
      <c r="L1079" s="71"/>
      <c r="M1079" s="71"/>
      <c r="N1079" s="71"/>
      <c r="O1079" s="71"/>
      <c r="P1079" s="71"/>
      <c r="Q1079" s="71"/>
      <c r="R1079" s="71"/>
      <c r="S1079" s="71"/>
    </row>
    <row r="1080" spans="2:19" ht="15" x14ac:dyDescent="0.25">
      <c r="B1080"/>
      <c r="C1080"/>
      <c r="D1080"/>
      <c r="E1080"/>
      <c r="F1080"/>
      <c r="G1080"/>
      <c r="H1080"/>
      <c r="I1080"/>
      <c r="J1080" s="71"/>
      <c r="K1080" s="71"/>
      <c r="L1080" s="71"/>
      <c r="M1080" s="71"/>
      <c r="N1080" s="71"/>
      <c r="O1080" s="71"/>
      <c r="P1080" s="71"/>
      <c r="Q1080" s="71"/>
      <c r="R1080" s="71"/>
      <c r="S1080" s="71"/>
    </row>
    <row r="1081" spans="2:19" ht="15" x14ac:dyDescent="0.25">
      <c r="B1081"/>
      <c r="C1081"/>
      <c r="D1081"/>
      <c r="E1081"/>
      <c r="F1081"/>
      <c r="G1081"/>
      <c r="H1081"/>
      <c r="I1081"/>
      <c r="J1081" s="71"/>
      <c r="K1081" s="71"/>
      <c r="L1081" s="71"/>
      <c r="M1081" s="71"/>
      <c r="N1081" s="71"/>
      <c r="O1081" s="71"/>
      <c r="P1081" s="71"/>
      <c r="Q1081" s="71"/>
      <c r="R1081" s="71"/>
      <c r="S1081" s="71"/>
    </row>
    <row r="1082" spans="2:19" ht="15" x14ac:dyDescent="0.25">
      <c r="B1082"/>
      <c r="C1082"/>
      <c r="D1082"/>
      <c r="E1082"/>
      <c r="F1082"/>
      <c r="G1082"/>
      <c r="H1082"/>
      <c r="I1082"/>
      <c r="J1082" s="71"/>
      <c r="K1082" s="71"/>
      <c r="L1082" s="71"/>
      <c r="M1082" s="71"/>
      <c r="N1082" s="71"/>
      <c r="O1082" s="71"/>
      <c r="P1082" s="71"/>
      <c r="Q1082" s="71"/>
      <c r="R1082" s="71"/>
      <c r="S1082" s="71"/>
    </row>
    <row r="1083" spans="2:19" ht="15" x14ac:dyDescent="0.25">
      <c r="B1083"/>
      <c r="C1083"/>
      <c r="D1083"/>
      <c r="E1083"/>
      <c r="F1083"/>
      <c r="G1083"/>
      <c r="H1083"/>
      <c r="I1083"/>
      <c r="J1083" s="71"/>
      <c r="K1083" s="71"/>
      <c r="L1083" s="71"/>
      <c r="M1083" s="71"/>
      <c r="N1083" s="71"/>
      <c r="O1083" s="71"/>
      <c r="P1083" s="71"/>
      <c r="Q1083" s="71"/>
      <c r="R1083" s="71"/>
      <c r="S1083" s="71"/>
    </row>
    <row r="1084" spans="2:19" ht="15" x14ac:dyDescent="0.25">
      <c r="B1084"/>
      <c r="C1084"/>
      <c r="D1084"/>
      <c r="E1084"/>
      <c r="F1084"/>
      <c r="G1084"/>
      <c r="H1084"/>
      <c r="I1084"/>
      <c r="J1084" s="71"/>
      <c r="K1084" s="71"/>
      <c r="L1084" s="71"/>
      <c r="M1084" s="71"/>
      <c r="N1084" s="71"/>
      <c r="O1084" s="71"/>
      <c r="P1084" s="71"/>
      <c r="Q1084" s="71"/>
      <c r="R1084" s="71"/>
      <c r="S1084" s="71"/>
    </row>
    <row r="1085" spans="2:19" ht="15" x14ac:dyDescent="0.25">
      <c r="B1085"/>
      <c r="C1085"/>
      <c r="D1085"/>
      <c r="E1085"/>
      <c r="F1085"/>
      <c r="G1085"/>
      <c r="H1085"/>
      <c r="I1085"/>
      <c r="J1085" s="71"/>
      <c r="K1085" s="71"/>
      <c r="L1085" s="71"/>
      <c r="M1085" s="71"/>
      <c r="N1085" s="71"/>
      <c r="O1085" s="71"/>
      <c r="P1085" s="71"/>
      <c r="Q1085" s="71"/>
      <c r="R1085" s="71"/>
      <c r="S1085" s="71"/>
    </row>
    <row r="1086" spans="2:19" ht="15" x14ac:dyDescent="0.25">
      <c r="B1086"/>
      <c r="C1086"/>
      <c r="D1086"/>
      <c r="E1086"/>
      <c r="F1086"/>
      <c r="G1086"/>
      <c r="H1086"/>
      <c r="I1086"/>
      <c r="J1086" s="71"/>
      <c r="K1086" s="71"/>
      <c r="L1086" s="71"/>
      <c r="M1086" s="71"/>
      <c r="N1086" s="71"/>
      <c r="O1086" s="71"/>
      <c r="P1086" s="71"/>
      <c r="Q1086" s="71"/>
      <c r="R1086" s="71"/>
      <c r="S1086" s="71"/>
    </row>
    <row r="1087" spans="2:19" ht="15" x14ac:dyDescent="0.25">
      <c r="B1087"/>
      <c r="C1087"/>
      <c r="D1087"/>
      <c r="E1087"/>
      <c r="F1087"/>
      <c r="G1087"/>
      <c r="H1087"/>
      <c r="I1087"/>
      <c r="J1087" s="71"/>
      <c r="K1087" s="71"/>
      <c r="L1087" s="71"/>
      <c r="M1087" s="71"/>
      <c r="N1087" s="71"/>
      <c r="O1087" s="71"/>
      <c r="P1087" s="71"/>
      <c r="Q1087" s="71"/>
      <c r="R1087" s="71"/>
      <c r="S1087" s="71"/>
    </row>
    <row r="1088" spans="2:19" ht="15" x14ac:dyDescent="0.25">
      <c r="B1088"/>
      <c r="C1088"/>
      <c r="D1088"/>
      <c r="E1088"/>
      <c r="F1088"/>
      <c r="G1088"/>
      <c r="H1088"/>
      <c r="I1088"/>
      <c r="J1088" s="71"/>
      <c r="K1088" s="71"/>
      <c r="L1088" s="71"/>
      <c r="M1088" s="71"/>
      <c r="N1088" s="71"/>
      <c r="O1088" s="71"/>
      <c r="P1088" s="71"/>
      <c r="Q1088" s="71"/>
      <c r="R1088" s="71"/>
      <c r="S1088" s="71"/>
    </row>
    <row r="1089" spans="10:19" hidden="1" x14ac:dyDescent="0.2">
      <c r="J1089" s="71"/>
      <c r="K1089" s="71"/>
      <c r="L1089" s="71"/>
      <c r="M1089" s="71"/>
      <c r="N1089" s="71"/>
      <c r="O1089" s="71"/>
      <c r="P1089" s="71"/>
      <c r="Q1089" s="71"/>
      <c r="R1089" s="71"/>
      <c r="S1089" s="71"/>
    </row>
    <row r="1090" spans="10:19" hidden="1" x14ac:dyDescent="0.2">
      <c r="J1090" s="71"/>
      <c r="K1090" s="71"/>
      <c r="L1090" s="71"/>
      <c r="M1090" s="71"/>
      <c r="N1090" s="71"/>
      <c r="O1090" s="71"/>
      <c r="P1090" s="71"/>
      <c r="Q1090" s="71"/>
      <c r="R1090" s="71"/>
      <c r="S1090" s="71"/>
    </row>
    <row r="1091" spans="10:19" hidden="1" x14ac:dyDescent="0.2">
      <c r="J1091" s="71"/>
      <c r="K1091" s="71"/>
      <c r="L1091" s="71"/>
      <c r="M1091" s="71"/>
      <c r="N1091" s="71"/>
      <c r="O1091" s="71"/>
      <c r="P1091" s="71"/>
      <c r="Q1091" s="71"/>
      <c r="R1091" s="71"/>
      <c r="S1091" s="71"/>
    </row>
    <row r="1092" spans="10:19" hidden="1" x14ac:dyDescent="0.2">
      <c r="J1092" s="71"/>
      <c r="K1092" s="71"/>
      <c r="L1092" s="71"/>
      <c r="M1092" s="71"/>
      <c r="N1092" s="71"/>
      <c r="O1092" s="71"/>
      <c r="P1092" s="71"/>
      <c r="Q1092" s="71"/>
      <c r="R1092" s="71"/>
      <c r="S1092" s="71"/>
    </row>
  </sheetData>
  <sheetProtection formatCells="0" formatColumns="0" formatRows="0" insertColumns="0" insertRows="0" deleteColumns="0" deleteRows="0" sort="0"/>
  <mergeCells count="80">
    <mergeCell ref="B919:H919"/>
    <mergeCell ref="B693:G693"/>
    <mergeCell ref="B715:G715"/>
    <mergeCell ref="B734:G734"/>
    <mergeCell ref="B741:H741"/>
    <mergeCell ref="B743:G743"/>
    <mergeCell ref="B767:G767"/>
    <mergeCell ref="B799:G799"/>
    <mergeCell ref="B822:G822"/>
    <mergeCell ref="B843:G843"/>
    <mergeCell ref="B856:G856"/>
    <mergeCell ref="B866:H866"/>
    <mergeCell ref="B671:G671"/>
    <mergeCell ref="B418:F418"/>
    <mergeCell ref="B472:H472"/>
    <mergeCell ref="B474:G474"/>
    <mergeCell ref="B500:G500"/>
    <mergeCell ref="A536:F536"/>
    <mergeCell ref="B558:G558"/>
    <mergeCell ref="B578:G578"/>
    <mergeCell ref="B596:G596"/>
    <mergeCell ref="B605:H605"/>
    <mergeCell ref="B607:G607"/>
    <mergeCell ref="B628:G628"/>
    <mergeCell ref="B400:E400"/>
    <mergeCell ref="B228:H228"/>
    <mergeCell ref="B229:G229"/>
    <mergeCell ref="B233:G233"/>
    <mergeCell ref="B235:G235"/>
    <mergeCell ref="B238:E238"/>
    <mergeCell ref="B242:E242"/>
    <mergeCell ref="B247:H247"/>
    <mergeCell ref="B313:H313"/>
    <mergeCell ref="B321:E321"/>
    <mergeCell ref="B340:F340"/>
    <mergeCell ref="B392:H392"/>
    <mergeCell ref="B215:H215"/>
    <mergeCell ref="B169:I169"/>
    <mergeCell ref="B171:D171"/>
    <mergeCell ref="F171:I171"/>
    <mergeCell ref="F172:G172"/>
    <mergeCell ref="H172:I172"/>
    <mergeCell ref="B178:D178"/>
    <mergeCell ref="B183:D183"/>
    <mergeCell ref="B186:H186"/>
    <mergeCell ref="B199:H199"/>
    <mergeCell ref="B206:D206"/>
    <mergeCell ref="B209:D209"/>
    <mergeCell ref="B168:I168"/>
    <mergeCell ref="B121:H121"/>
    <mergeCell ref="B132:H132"/>
    <mergeCell ref="B141:H141"/>
    <mergeCell ref="B144:I144"/>
    <mergeCell ref="B145:I145"/>
    <mergeCell ref="B147:D147"/>
    <mergeCell ref="F147:H147"/>
    <mergeCell ref="F148:G148"/>
    <mergeCell ref="H148:I148"/>
    <mergeCell ref="B154:D154"/>
    <mergeCell ref="B159:D159"/>
    <mergeCell ref="B164:H164"/>
    <mergeCell ref="D107:E107"/>
    <mergeCell ref="F107:H107"/>
    <mergeCell ref="C49:G49"/>
    <mergeCell ref="C50:G50"/>
    <mergeCell ref="C51:G51"/>
    <mergeCell ref="C53:G53"/>
    <mergeCell ref="B62:I72"/>
    <mergeCell ref="B73:I78"/>
    <mergeCell ref="B89:I99"/>
    <mergeCell ref="B104:H104"/>
    <mergeCell ref="B105:D105"/>
    <mergeCell ref="D106:E106"/>
    <mergeCell ref="F106:H106"/>
    <mergeCell ref="C47:G47"/>
    <mergeCell ref="A1:I1"/>
    <mergeCell ref="D5:G5"/>
    <mergeCell ref="D7:G7"/>
    <mergeCell ref="D9:G9"/>
    <mergeCell ref="B39:H40"/>
  </mergeCells>
  <conditionalFormatting sqref="F987:I993 F965:H965 E984:E985 E992:E993 F976:H986 D935:H940 E916:E918 D920:H922 E910 F902:H910 F891:H891 E892:H894 I867:I910 D867:H870 C597:G600 C579:D587 E579:G582 F583:H587 D594:G595 F593:G593 F555:H555 F552:H552 F546:H546 E553:H554 F540:H541 E542:H545 F485:H485 E486:H489 F479:H479 E480:H484 E476:G478 H473:H478 E310:F311 F309 G301:H302 F290:H300 E301:F308 F278:H278 D279:D311 E279:H289 I248:I302 E243:E246 C234:E234 G234 H229:I231 H233:I234 E178:E185 C137:G137 C124:E124 B168 B165:B166 B198:H198 I188 H189:I189 B187:I187 B189:C189 B197:D197 B196 C191:C192 D196 H191:H192 I192:I200 C210:C213 B227:G227 B133:H133 B229:B234 B248:C251 B473:G473 E547:H551 B476:D489 I473:I489 E539:H539 B602:G602 G603 B122:B125 C122:I122 H123:H127 B241:B246 G241:I246 C241:E242 I235:I240 G197:H197 E328:F335 H179:I179 E171 F146:I146 F149:I154 B135:H135 F134:H134 B136 I133:I135 B138:E138 B471:I471 D127 F126 F182:I185 H219:I227 E361 E377:F378 C506:D507 H604:I604 D872:H872 D871 F871:G871 D874:H877 D873 D879:H879 D878 F878:G878 D880 D881:H883 B312:I312 D248:H277 F173:G178 G138 G124 B206 B209 D210 B211:B212 G230:G231 D230:D231 C252:C255 B256:C311 I314:I320 G321 B355 E584:E588 C559:G561 E577 E601 E347:E349 G328:H343 B322:C354 D366:D391 G366:H369 B356:C391 C501:G503 C629:G631 C634:E635 G634:G635 B469:D470 H588:H603 C650 E650:G650 C633:G633 C632:E632 G632:H632 G601 G577:H577 C562:E562 G562 C505:G505 C504:E504 G504:H504 B702 I739:I740 B865:I865 E726 F873:H873 F880:H880 B994:I994 F923:H934 D959:H959 D941:D958 F942:H949 E954 E956:E957 D961:H964 D960 F960:H960 E987:E990 D407:H413 B401:C430 C563:G576 C636:G649 C829:G833 H827:H847 I385:I470 D443:D468 B433:C468 F461:H466 G371:H383 G370 G359:H364 G358 G350 G345:H349 G344 G304:I311 G303 D885:H890 D884:G884 E896:H901 E895:G895 F911:G911 F941:G941 F951:H956 F950:G950 F958:H958 F957:G957 E969:G969 E206:E210 E204:I204 I205 C205 C206:D208 B204 C591:C595 B591:B600 D590:G592 B589:F589 F588:G588 B727 B731:B738 B704:B725 B832:B854 B628:B668 H633:I668 B163:I163 B162 E161:I162 D211:E212 G206:I212 I213:I214 B214:E214 G214:H214 B1089:I65817 E355:E359 D344:D361 F344:F361 I322:I383 G351:H357 B500:B535 E556:G557 C539:D557 I539:I603 H556:H576 H578:H582 B539:B587 E621:H622 I621:I627 B621:D627 C774:G786 B767:B829 H772:I797 I798:I859 B856:B859 H853:H859 C857:G859 F912:I918 E912:E914 D892:D918 B867:C918 E966:H968 E970:H975 D966:D993 B920:C993 I920:I985 B729:D730 H505:I538 H196">
    <cfRule type="cellIs" dxfId="393" priority="403" stopIfTrue="1" operator="equal">
      <formula>"OK!!"</formula>
    </cfRule>
    <cfRule type="cellIs" dxfId="392" priority="404" stopIfTrue="1" operator="equal">
      <formula>"NO!!"</formula>
    </cfRule>
  </conditionalFormatting>
  <conditionalFormatting sqref="E146:E147 E154:E160 B144:B146 B142 F159:I160 F158:G158">
    <cfRule type="cellIs" dxfId="391" priority="401" stopIfTrue="1" operator="equal">
      <formula>"OK!!"</formula>
    </cfRule>
    <cfRule type="cellIs" dxfId="390" priority="402" stopIfTrue="1" operator="equal">
      <formula>"NO!!"</formula>
    </cfRule>
  </conditionalFormatting>
  <conditionalFormatting sqref="B192">
    <cfRule type="cellIs" dxfId="389" priority="395" stopIfTrue="1" operator="equal">
      <formula>"OK!!"</formula>
    </cfRule>
    <cfRule type="cellIs" dxfId="388" priority="396" stopIfTrue="1" operator="equal">
      <formula>"NO!!"</formula>
    </cfRule>
  </conditionalFormatting>
  <conditionalFormatting sqref="H188 B188:D188">
    <cfRule type="cellIs" dxfId="387" priority="399" stopIfTrue="1" operator="equal">
      <formula>"OK!!"</formula>
    </cfRule>
    <cfRule type="cellIs" dxfId="386" priority="400" stopIfTrue="1" operator="equal">
      <formula>"NO!!"</formula>
    </cfRule>
  </conditionalFormatting>
  <conditionalFormatting sqref="D189">
    <cfRule type="cellIs" dxfId="385" priority="397" stopIfTrue="1" operator="equal">
      <formula>"OK!!"</formula>
    </cfRule>
    <cfRule type="cellIs" dxfId="384" priority="398" stopIfTrue="1" operator="equal">
      <formula>"NO!!"</formula>
    </cfRule>
  </conditionalFormatting>
  <conditionalFormatting sqref="B191">
    <cfRule type="cellIs" dxfId="383" priority="393" stopIfTrue="1" operator="equal">
      <formula>"OK!!"</formula>
    </cfRule>
    <cfRule type="cellIs" dxfId="382" priority="394" stopIfTrue="1" operator="equal">
      <formula>"NO!!"</formula>
    </cfRule>
  </conditionalFormatting>
  <conditionalFormatting sqref="D191">
    <cfRule type="cellIs" dxfId="381" priority="391" stopIfTrue="1" operator="equal">
      <formula>"OK!!"</formula>
    </cfRule>
    <cfRule type="cellIs" dxfId="380" priority="392" stopIfTrue="1" operator="equal">
      <formula>"NO!!"</formula>
    </cfRule>
  </conditionalFormatting>
  <conditionalFormatting sqref="D192">
    <cfRule type="cellIs" dxfId="379" priority="389" stopIfTrue="1" operator="equal">
      <formula>"OK!!"</formula>
    </cfRule>
    <cfRule type="cellIs" dxfId="378" priority="390" stopIfTrue="1" operator="equal">
      <formula>"NO!!"</formula>
    </cfRule>
  </conditionalFormatting>
  <conditionalFormatting sqref="B216 I215:I218">
    <cfRule type="cellIs" dxfId="377" priority="383" stopIfTrue="1" operator="equal">
      <formula>"OK!!"</formula>
    </cfRule>
    <cfRule type="cellIs" dxfId="376" priority="384" stopIfTrue="1" operator="equal">
      <formula>"NO!!"</formula>
    </cfRule>
  </conditionalFormatting>
  <conditionalFormatting sqref="D201">
    <cfRule type="cellIs" dxfId="375" priority="387" stopIfTrue="1" operator="equal">
      <formula>"OK!!"</formula>
    </cfRule>
    <cfRule type="cellIs" dxfId="374" priority="388" stopIfTrue="1" operator="equal">
      <formula>"NO!!"</formula>
    </cfRule>
  </conditionalFormatting>
  <conditionalFormatting sqref="G201:H201">
    <cfRule type="cellIs" dxfId="373" priority="385" stopIfTrue="1" operator="equal">
      <formula>"OK!!"</formula>
    </cfRule>
    <cfRule type="cellIs" dxfId="372" priority="386" stopIfTrue="1" operator="equal">
      <formula>"NO!!"</formula>
    </cfRule>
  </conditionalFormatting>
  <conditionalFormatting sqref="D194">
    <cfRule type="cellIs" dxfId="371" priority="377" stopIfTrue="1" operator="equal">
      <formula>"OK!!"</formula>
    </cfRule>
    <cfRule type="cellIs" dxfId="370" priority="378" stopIfTrue="1" operator="equal">
      <formula>"NO!!"</formula>
    </cfRule>
  </conditionalFormatting>
  <conditionalFormatting sqref="I228">
    <cfRule type="cellIs" dxfId="369" priority="373" stopIfTrue="1" operator="equal">
      <formula>"OK!!"</formula>
    </cfRule>
    <cfRule type="cellIs" dxfId="368" priority="374" stopIfTrue="1" operator="equal">
      <formula>"NO!!"</formula>
    </cfRule>
  </conditionalFormatting>
  <conditionalFormatting sqref="B121 I121">
    <cfRule type="cellIs" dxfId="367" priority="371" stopIfTrue="1" operator="equal">
      <formula>"OK!!"</formula>
    </cfRule>
    <cfRule type="cellIs" dxfId="366" priority="372" stopIfTrue="1" operator="equal">
      <formula>"NO!!"</formula>
    </cfRule>
  </conditionalFormatting>
  <conditionalFormatting sqref="B132 I132">
    <cfRule type="cellIs" dxfId="365" priority="369" stopIfTrue="1" operator="equal">
      <formula>"OK!!"</formula>
    </cfRule>
    <cfRule type="cellIs" dxfId="364" priority="370" stopIfTrue="1" operator="equal">
      <formula>"NO!!"</formula>
    </cfRule>
  </conditionalFormatting>
  <conditionalFormatting sqref="B141 I141">
    <cfRule type="cellIs" dxfId="363" priority="367" stopIfTrue="1" operator="equal">
      <formula>"OK!!"</formula>
    </cfRule>
    <cfRule type="cellIs" dxfId="362" priority="368" stopIfTrue="1" operator="equal">
      <formula>"NO!!"</formula>
    </cfRule>
  </conditionalFormatting>
  <conditionalFormatting sqref="B164 I164">
    <cfRule type="cellIs" dxfId="361" priority="365" stopIfTrue="1" operator="equal">
      <formula>"OK!!"</formula>
    </cfRule>
    <cfRule type="cellIs" dxfId="360" priority="366" stopIfTrue="1" operator="equal">
      <formula>"NO!!"</formula>
    </cfRule>
  </conditionalFormatting>
  <conditionalFormatting sqref="B199">
    <cfRule type="cellIs" dxfId="359" priority="363" stopIfTrue="1" operator="equal">
      <formula>"OK!!"</formula>
    </cfRule>
    <cfRule type="cellIs" dxfId="358" priority="364" stopIfTrue="1" operator="equal">
      <formula>"NO!!"</formula>
    </cfRule>
  </conditionalFormatting>
  <conditionalFormatting sqref="B186 I186">
    <cfRule type="cellIs" dxfId="357" priority="361" stopIfTrue="1" operator="equal">
      <formula>"OK!!"</formula>
    </cfRule>
    <cfRule type="cellIs" dxfId="356" priority="362" stopIfTrue="1" operator="equal">
      <formula>"NO!!"</formula>
    </cfRule>
  </conditionalFormatting>
  <conditionalFormatting sqref="B228">
    <cfRule type="cellIs" dxfId="355" priority="359" stopIfTrue="1" operator="equal">
      <formula>"OK!!"</formula>
    </cfRule>
    <cfRule type="cellIs" dxfId="354" priority="360" stopIfTrue="1" operator="equal">
      <formula>"NO!!"</formula>
    </cfRule>
  </conditionalFormatting>
  <conditionalFormatting sqref="B247 I247">
    <cfRule type="cellIs" dxfId="353" priority="357" stopIfTrue="1" operator="equal">
      <formula>"OK!!"</formula>
    </cfRule>
    <cfRule type="cellIs" dxfId="352" priority="358" stopIfTrue="1" operator="equal">
      <formula>"NO!!"</formula>
    </cfRule>
  </conditionalFormatting>
  <conditionalFormatting sqref="B472 I472">
    <cfRule type="cellIs" dxfId="351" priority="355" stopIfTrue="1" operator="equal">
      <formula>"OK!!"</formula>
    </cfRule>
    <cfRule type="cellIs" dxfId="350" priority="356" stopIfTrue="1" operator="equal">
      <formula>"NO!!"</formula>
    </cfRule>
  </conditionalFormatting>
  <conditionalFormatting sqref="B474:B475">
    <cfRule type="cellIs" dxfId="349" priority="353" stopIfTrue="1" operator="equal">
      <formula>"OK!!"</formula>
    </cfRule>
    <cfRule type="cellIs" dxfId="348" priority="354" stopIfTrue="1" operator="equal">
      <formula>"NO!!"</formula>
    </cfRule>
  </conditionalFormatting>
  <conditionalFormatting sqref="F496:H496 E497:H499 F493:H493 E494:H495 E490:H492 I490:I499 B490:D499">
    <cfRule type="cellIs" dxfId="347" priority="351" stopIfTrue="1" operator="equal">
      <formula>"OK!!"</formula>
    </cfRule>
    <cfRule type="cellIs" dxfId="346" priority="352" stopIfTrue="1" operator="equal">
      <formula>"NO!!"</formula>
    </cfRule>
  </conditionalFormatting>
  <conditionalFormatting sqref="H500:I503 C508:G518 I504 C519 G519 E519 C520:G530 C531:C535 G531:G538 E531:E535">
    <cfRule type="cellIs" dxfId="345" priority="349" stopIfTrue="1" operator="equal">
      <formula>"OK!!"</formula>
    </cfRule>
    <cfRule type="cellIs" dxfId="344" priority="350" stopIfTrue="1" operator="equal">
      <formula>"NO!!"</formula>
    </cfRule>
  </conditionalFormatting>
  <conditionalFormatting sqref="G604">
    <cfRule type="cellIs" dxfId="343" priority="347" stopIfTrue="1" operator="equal">
      <formula>"OK!!"</formula>
    </cfRule>
    <cfRule type="cellIs" dxfId="342" priority="348" stopIfTrue="1" operator="equal">
      <formula>"NO!!"</formula>
    </cfRule>
  </conditionalFormatting>
  <conditionalFormatting sqref="B606 I605:I606 B740">
    <cfRule type="cellIs" dxfId="341" priority="345" stopIfTrue="1" operator="equal">
      <formula>"OK!!"</formula>
    </cfRule>
    <cfRule type="cellIs" dxfId="340" priority="346" stopIfTrue="1" operator="equal">
      <formula>"NO!!"</formula>
    </cfRule>
  </conditionalFormatting>
  <conditionalFormatting sqref="H726:H738 C735:G738 C716:D725 F726:G726 E716:G719 E721:E725 F720:H725 D732:G733 F731:G731 C727:G728 C694:G698 E691:G692 F690:H690 H691:H696 F687:H687 E688:H689 E672:G675 E677:H680 F618:H618 E619:H620 F612:H613 E614:H617 E609:G611 H607:H611 E682:H686 C672:D692 B609:D620 C670:G670 I607:I620 H670:H675 B670:B701 C706:D706 F706 F676:H676 F681:H681 C700:G705 C699:E699 G699 H698:H719 C707:G712 C714:G714 C713:E713 G713 E739:G739 I670:I738 E729:G730 C731:C733">
    <cfRule type="cellIs" dxfId="339" priority="343" stopIfTrue="1" operator="equal">
      <formula>"OK!!"</formula>
    </cfRule>
    <cfRule type="cellIs" dxfId="338" priority="344" stopIfTrue="1" operator="equal">
      <formula>"NO!!"</formula>
    </cfRule>
  </conditionalFormatting>
  <conditionalFormatting sqref="B607:B608">
    <cfRule type="cellIs" dxfId="337" priority="341" stopIfTrue="1" operator="equal">
      <formula>"OK!!"</formula>
    </cfRule>
    <cfRule type="cellIs" dxfId="336" priority="342" stopIfTrue="1" operator="equal">
      <formula>"NO!!"</formula>
    </cfRule>
  </conditionalFormatting>
  <conditionalFormatting sqref="F626:H626 E627:H627 F623:H623 E624:H625 B669:I669">
    <cfRule type="cellIs" dxfId="335" priority="339" stopIfTrue="1" operator="equal">
      <formula>"OK!!"</formula>
    </cfRule>
    <cfRule type="cellIs" dxfId="334" priority="340" stopIfTrue="1" operator="equal">
      <formula>"NO!!"</formula>
    </cfRule>
  </conditionalFormatting>
  <conditionalFormatting sqref="H628:I631 I632">
    <cfRule type="cellIs" dxfId="333" priority="337" stopIfTrue="1" operator="equal">
      <formula>"OK!!"</formula>
    </cfRule>
    <cfRule type="cellIs" dxfId="332" priority="338" stopIfTrue="1" operator="equal">
      <formula>"NO!!"</formula>
    </cfRule>
  </conditionalFormatting>
  <conditionalFormatting sqref="B605">
    <cfRule type="cellIs" dxfId="331" priority="335" stopIfTrue="1" operator="equal">
      <formula>"OK!!"</formula>
    </cfRule>
    <cfRule type="cellIs" dxfId="330" priority="336" stopIfTrue="1" operator="equal">
      <formula>"NO!!"</formula>
    </cfRule>
  </conditionalFormatting>
  <conditionalFormatting sqref="F389:G389 E390:H391 F382:F383 E383 E380:F381 F379 F376 F365:H365 E366:F375 F318:H320 D314:H317 D328:D335 F336 D337:F343 F322:H327 B314:C320 D362:F364 E385:H388 E469:H470 F384:G384">
    <cfRule type="cellIs" dxfId="329" priority="333" stopIfTrue="1" operator="equal">
      <formula>"OK!!"</formula>
    </cfRule>
    <cfRule type="cellIs" dxfId="328" priority="334" stopIfTrue="1" operator="equal">
      <formula>"NO!!"</formula>
    </cfRule>
  </conditionalFormatting>
  <conditionalFormatting sqref="B321">
    <cfRule type="cellIs" dxfId="327" priority="331" stopIfTrue="1" operator="equal">
      <formula>"OK!!"</formula>
    </cfRule>
    <cfRule type="cellIs" dxfId="326" priority="332" stopIfTrue="1" operator="equal">
      <formula>"NO!!"</formula>
    </cfRule>
  </conditionalFormatting>
  <conditionalFormatting sqref="B313 I313">
    <cfRule type="cellIs" dxfId="325" priority="329" stopIfTrue="1" operator="equal">
      <formula>"OK!!"</formula>
    </cfRule>
    <cfRule type="cellIs" dxfId="324" priority="330" stopIfTrue="1" operator="equal">
      <formula>"NO!!"</formula>
    </cfRule>
  </conditionalFormatting>
  <conditionalFormatting sqref="B866 I866">
    <cfRule type="cellIs" dxfId="323" priority="327" stopIfTrue="1" operator="equal">
      <formula>"OK!!"</formula>
    </cfRule>
    <cfRule type="cellIs" dxfId="322" priority="328" stopIfTrue="1" operator="equal">
      <formula>"NO!!"</formula>
    </cfRule>
  </conditionalFormatting>
  <conditionalFormatting sqref="B919 I919">
    <cfRule type="cellIs" dxfId="321" priority="325" stopIfTrue="1" operator="equal">
      <formula>"OK!!"</formula>
    </cfRule>
    <cfRule type="cellIs" dxfId="320" priority="326" stopIfTrue="1" operator="equal">
      <formula>"NO!!"</formula>
    </cfRule>
  </conditionalFormatting>
  <conditionalFormatting sqref="C236:E237 G236:G237 H235:H237 B235:B237">
    <cfRule type="cellIs" dxfId="319" priority="323" stopIfTrue="1" operator="equal">
      <formula>"OK!!"</formula>
    </cfRule>
    <cfRule type="cellIs" dxfId="318" priority="324" stopIfTrue="1" operator="equal">
      <formula>"NO!!"</formula>
    </cfRule>
  </conditionalFormatting>
  <conditionalFormatting sqref="E239:E240 B238:B240 G238:H240 C238:E238">
    <cfRule type="cellIs" dxfId="317" priority="321" stopIfTrue="1" operator="equal">
      <formula>"OK!!"</formula>
    </cfRule>
    <cfRule type="cellIs" dxfId="316" priority="322" stopIfTrue="1" operator="equal">
      <formula>"NO!!"</formula>
    </cfRule>
  </conditionalFormatting>
  <conditionalFormatting sqref="B170">
    <cfRule type="cellIs" dxfId="315" priority="319" stopIfTrue="1" operator="equal">
      <formula>"OK!!"</formula>
    </cfRule>
    <cfRule type="cellIs" dxfId="314" priority="320" stopIfTrue="1" operator="equal">
      <formula>"NO!!"</formula>
    </cfRule>
  </conditionalFormatting>
  <conditionalFormatting sqref="H173:H178">
    <cfRule type="cellIs" dxfId="313" priority="317" stopIfTrue="1" operator="equal">
      <formula>"OK!!"</formula>
    </cfRule>
    <cfRule type="cellIs" dxfId="312" priority="318" stopIfTrue="1" operator="equal">
      <formula>"NO!!"</formula>
    </cfRule>
  </conditionalFormatting>
  <conditionalFormatting sqref="I173:I178">
    <cfRule type="cellIs" dxfId="311" priority="315" stopIfTrue="1" operator="equal">
      <formula>"OK!!"</formula>
    </cfRule>
    <cfRule type="cellIs" dxfId="310" priority="316" stopIfTrue="1" operator="equal">
      <formula>"NO!!"</formula>
    </cfRule>
  </conditionalFormatting>
  <conditionalFormatting sqref="B147">
    <cfRule type="cellIs" dxfId="309" priority="313" stopIfTrue="1" operator="equal">
      <formula>"OK!!"</formula>
    </cfRule>
    <cfRule type="cellIs" dxfId="308" priority="314" stopIfTrue="1" operator="equal">
      <formula>"NO!!"</formula>
    </cfRule>
  </conditionalFormatting>
  <conditionalFormatting sqref="E345 E351">
    <cfRule type="cellIs" dxfId="307" priority="307" stopIfTrue="1" operator="equal">
      <formula>"OK!!"</formula>
    </cfRule>
    <cfRule type="cellIs" dxfId="306" priority="308" stopIfTrue="1" operator="equal">
      <formula>"NO!!"</formula>
    </cfRule>
  </conditionalFormatting>
  <conditionalFormatting sqref="B215">
    <cfRule type="cellIs" dxfId="305" priority="309" stopIfTrue="1" operator="equal">
      <formula>"OK!!"</formula>
    </cfRule>
    <cfRule type="cellIs" dxfId="304" priority="310" stopIfTrue="1" operator="equal">
      <formula>"NO!!"</formula>
    </cfRule>
  </conditionalFormatting>
  <conditionalFormatting sqref="E344">
    <cfRule type="cellIs" dxfId="303" priority="305" stopIfTrue="1" operator="equal">
      <formula>"OK!!"</formula>
    </cfRule>
    <cfRule type="cellIs" dxfId="302" priority="306" stopIfTrue="1" operator="equal">
      <formula>"NO!!"</formula>
    </cfRule>
  </conditionalFormatting>
  <conditionalFormatting sqref="E346">
    <cfRule type="cellIs" dxfId="301" priority="303" stopIfTrue="1" operator="equal">
      <formula>"OK!!"</formula>
    </cfRule>
    <cfRule type="cellIs" dxfId="300" priority="304" stopIfTrue="1" operator="equal">
      <formula>"NO!!"</formula>
    </cfRule>
  </conditionalFormatting>
  <conditionalFormatting sqref="E350">
    <cfRule type="cellIs" dxfId="299" priority="301" stopIfTrue="1" operator="equal">
      <formula>"OK!!"</formula>
    </cfRule>
    <cfRule type="cellIs" dxfId="298" priority="302" stopIfTrue="1" operator="equal">
      <formula>"NO!!"</formula>
    </cfRule>
  </conditionalFormatting>
  <conditionalFormatting sqref="E352:E354">
    <cfRule type="cellIs" dxfId="297" priority="299" stopIfTrue="1" operator="equal">
      <formula>"OK!!"</formula>
    </cfRule>
    <cfRule type="cellIs" dxfId="296" priority="300" stopIfTrue="1" operator="equal">
      <formula>"NO!!"</formula>
    </cfRule>
  </conditionalFormatting>
  <conditionalFormatting sqref="E384">
    <cfRule type="cellIs" dxfId="295" priority="297" stopIfTrue="1" operator="equal">
      <formula>"OK!!"</formula>
    </cfRule>
    <cfRule type="cellIs" dxfId="294" priority="298" stopIfTrue="1" operator="equal">
      <formula>"NO!!"</formula>
    </cfRule>
  </conditionalFormatting>
  <conditionalFormatting sqref="E871">
    <cfRule type="cellIs" dxfId="293" priority="295" stopIfTrue="1" operator="equal">
      <formula>"OK!!"</formula>
    </cfRule>
    <cfRule type="cellIs" dxfId="292" priority="296" stopIfTrue="1" operator="equal">
      <formula>"NO!!"</formula>
    </cfRule>
  </conditionalFormatting>
  <conditionalFormatting sqref="E873">
    <cfRule type="cellIs" dxfId="291" priority="293" stopIfTrue="1" operator="equal">
      <formula>"OK!!"</formula>
    </cfRule>
    <cfRule type="cellIs" dxfId="290" priority="294" stopIfTrue="1" operator="equal">
      <formula>"NO!!"</formula>
    </cfRule>
  </conditionalFormatting>
  <conditionalFormatting sqref="E878">
    <cfRule type="cellIs" dxfId="289" priority="291" stopIfTrue="1" operator="equal">
      <formula>"OK!!"</formula>
    </cfRule>
    <cfRule type="cellIs" dxfId="288" priority="292" stopIfTrue="1" operator="equal">
      <formula>"NO!!"</formula>
    </cfRule>
  </conditionalFormatting>
  <conditionalFormatting sqref="E880">
    <cfRule type="cellIs" dxfId="287" priority="289" stopIfTrue="1" operator="equal">
      <formula>"OK!!"</formula>
    </cfRule>
    <cfRule type="cellIs" dxfId="286" priority="290" stopIfTrue="1" operator="equal">
      <formula>"NO!!"</formula>
    </cfRule>
  </conditionalFormatting>
  <conditionalFormatting sqref="B169">
    <cfRule type="cellIs" dxfId="285" priority="281" stopIfTrue="1" operator="equal">
      <formula>"OK!!"</formula>
    </cfRule>
    <cfRule type="cellIs" dxfId="284" priority="282" stopIfTrue="1" operator="equal">
      <formula>"NO!!"</formula>
    </cfRule>
  </conditionalFormatting>
  <conditionalFormatting sqref="F124">
    <cfRule type="cellIs" dxfId="283" priority="279" stopIfTrue="1" operator="equal">
      <formula>"OK!!"</formula>
    </cfRule>
    <cfRule type="cellIs" dxfId="282" priority="280" stopIfTrue="1" operator="equal">
      <formula>"NO!!"</formula>
    </cfRule>
  </conditionalFormatting>
  <conditionalFormatting sqref="E431:E436 E438 E454:F455 G400 B431:B432 E425:E427 D422:D438 F422:F438 G443:H445 G415:H421 H414 G439:H441 H423:H427 G454:H460 H453 G448:H452 G446:G447 H436:H438 H429:H434">
    <cfRule type="cellIs" dxfId="281" priority="277" stopIfTrue="1" operator="equal">
      <formula>"OK!!"</formula>
    </cfRule>
    <cfRule type="cellIs" dxfId="280" priority="278" stopIfTrue="1" operator="equal">
      <formula>"NO!!"</formula>
    </cfRule>
  </conditionalFormatting>
  <conditionalFormatting sqref="F467:G467 E468:H468 F459:F460 E460 E457:F458 F456 F453 F442:H442 E443:F452 F398:H399 D393:H396 F414 D415:F421 F401:H405 B393:C399 D439:F441 E463:E466 F397 H397 F406 H406">
    <cfRule type="cellIs" dxfId="279" priority="275" stopIfTrue="1" operator="equal">
      <formula>"OK!!"</formula>
    </cfRule>
    <cfRule type="cellIs" dxfId="278" priority="276" stopIfTrue="1" operator="equal">
      <formula>"NO!!"</formula>
    </cfRule>
  </conditionalFormatting>
  <conditionalFormatting sqref="B400">
    <cfRule type="cellIs" dxfId="277" priority="273" stopIfTrue="1" operator="equal">
      <formula>"OK!!"</formula>
    </cfRule>
    <cfRule type="cellIs" dxfId="276" priority="274" stopIfTrue="1" operator="equal">
      <formula>"NO!!"</formula>
    </cfRule>
  </conditionalFormatting>
  <conditionalFormatting sqref="B392">
    <cfRule type="cellIs" dxfId="275" priority="271" stopIfTrue="1" operator="equal">
      <formula>"OK!!"</formula>
    </cfRule>
    <cfRule type="cellIs" dxfId="274" priority="272" stopIfTrue="1" operator="equal">
      <formula>"NO!!"</formula>
    </cfRule>
  </conditionalFormatting>
  <conditionalFormatting sqref="E423 E429">
    <cfRule type="cellIs" dxfId="273" priority="269" stopIfTrue="1" operator="equal">
      <formula>"OK!!"</formula>
    </cfRule>
    <cfRule type="cellIs" dxfId="272" priority="270" stopIfTrue="1" operator="equal">
      <formula>"NO!!"</formula>
    </cfRule>
  </conditionalFormatting>
  <conditionalFormatting sqref="E422">
    <cfRule type="cellIs" dxfId="271" priority="267" stopIfTrue="1" operator="equal">
      <formula>"OK!!"</formula>
    </cfRule>
    <cfRule type="cellIs" dxfId="270" priority="268" stopIfTrue="1" operator="equal">
      <formula>"NO!!"</formula>
    </cfRule>
  </conditionalFormatting>
  <conditionalFormatting sqref="E424">
    <cfRule type="cellIs" dxfId="269" priority="265" stopIfTrue="1" operator="equal">
      <formula>"OK!!"</formula>
    </cfRule>
    <cfRule type="cellIs" dxfId="268" priority="266" stopIfTrue="1" operator="equal">
      <formula>"NO!!"</formula>
    </cfRule>
  </conditionalFormatting>
  <conditionalFormatting sqref="E428">
    <cfRule type="cellIs" dxfId="267" priority="263" stopIfTrue="1" operator="equal">
      <formula>"OK!!"</formula>
    </cfRule>
    <cfRule type="cellIs" dxfId="266" priority="264" stopIfTrue="1" operator="equal">
      <formula>"NO!!"</formula>
    </cfRule>
  </conditionalFormatting>
  <conditionalFormatting sqref="E430">
    <cfRule type="cellIs" dxfId="265" priority="261" stopIfTrue="1" operator="equal">
      <formula>"OK!!"</formula>
    </cfRule>
    <cfRule type="cellIs" dxfId="264" priority="262" stopIfTrue="1" operator="equal">
      <formula>"NO!!"</formula>
    </cfRule>
  </conditionalFormatting>
  <conditionalFormatting sqref="E461:E462">
    <cfRule type="cellIs" dxfId="263" priority="259" stopIfTrue="1" operator="equal">
      <formula>"OK!!"</formula>
    </cfRule>
    <cfRule type="cellIs" dxfId="262" priority="260" stopIfTrue="1" operator="equal">
      <formula>"NO!!"</formula>
    </cfRule>
  </conditionalFormatting>
  <conditionalFormatting sqref="G397">
    <cfRule type="cellIs" dxfId="261" priority="257" stopIfTrue="1" operator="equal">
      <formula>"OK!!"</formula>
    </cfRule>
    <cfRule type="cellIs" dxfId="260" priority="258" stopIfTrue="1" operator="equal">
      <formula>"NO!!"</formula>
    </cfRule>
  </conditionalFormatting>
  <conditionalFormatting sqref="G406">
    <cfRule type="cellIs" dxfId="259" priority="255" stopIfTrue="1" operator="equal">
      <formula>"OK!!"</formula>
    </cfRule>
    <cfRule type="cellIs" dxfId="258" priority="256" stopIfTrue="1" operator="equal">
      <formula>"NO!!"</formula>
    </cfRule>
  </conditionalFormatting>
  <conditionalFormatting sqref="G414">
    <cfRule type="cellIs" dxfId="257" priority="253" stopIfTrue="1" operator="equal">
      <formula>"OK!!"</formula>
    </cfRule>
    <cfRule type="cellIs" dxfId="256" priority="254" stopIfTrue="1" operator="equal">
      <formula>"NO!!"</formula>
    </cfRule>
  </conditionalFormatting>
  <conditionalFormatting sqref="G422:G438">
    <cfRule type="cellIs" dxfId="255" priority="251" stopIfTrue="1" operator="equal">
      <formula>"OK!!"</formula>
    </cfRule>
    <cfRule type="cellIs" dxfId="254" priority="252" stopIfTrue="1" operator="equal">
      <formula>"NO!!"</formula>
    </cfRule>
  </conditionalFormatting>
  <conditionalFormatting sqref="G453">
    <cfRule type="cellIs" dxfId="253" priority="249" stopIfTrue="1" operator="equal">
      <formula>"OK!!"</formula>
    </cfRule>
    <cfRule type="cellIs" dxfId="252" priority="250" stopIfTrue="1" operator="equal">
      <formula>"NO!!"</formula>
    </cfRule>
  </conditionalFormatting>
  <conditionalFormatting sqref="F519">
    <cfRule type="cellIs" dxfId="251" priority="247" stopIfTrue="1" operator="equal">
      <formula>"OK!!"</formula>
    </cfRule>
    <cfRule type="cellIs" dxfId="250" priority="248" stopIfTrue="1" operator="equal">
      <formula>"NO!!"</formula>
    </cfRule>
  </conditionalFormatting>
  <conditionalFormatting sqref="E706">
    <cfRule type="cellIs" dxfId="249" priority="245" stopIfTrue="1" operator="equal">
      <formula>"OK!!"</formula>
    </cfRule>
    <cfRule type="cellIs" dxfId="248" priority="246" stopIfTrue="1" operator="equal">
      <formula>"NO!!"</formula>
    </cfRule>
  </conditionalFormatting>
  <conditionalFormatting sqref="G706">
    <cfRule type="cellIs" dxfId="247" priority="243" stopIfTrue="1" operator="equal">
      <formula>"OK!!"</formula>
    </cfRule>
    <cfRule type="cellIs" dxfId="246" priority="244" stopIfTrue="1" operator="equal">
      <formula>"NO!!"</formula>
    </cfRule>
  </conditionalFormatting>
  <conditionalFormatting sqref="H697">
    <cfRule type="cellIs" dxfId="245" priority="241" stopIfTrue="1" operator="equal">
      <formula>"OK!!"</formula>
    </cfRule>
    <cfRule type="cellIs" dxfId="244" priority="242" stopIfTrue="1" operator="equal">
      <formula>"NO!!"</formula>
    </cfRule>
  </conditionalFormatting>
  <conditionalFormatting sqref="D650">
    <cfRule type="cellIs" dxfId="243" priority="239" stopIfTrue="1" operator="equal">
      <formula>"OK!!"</formula>
    </cfRule>
    <cfRule type="cellIs" dxfId="242" priority="240" stopIfTrue="1" operator="equal">
      <formula>"NO!!"</formula>
    </cfRule>
  </conditionalFormatting>
  <conditionalFormatting sqref="F632">
    <cfRule type="cellIs" dxfId="241" priority="237" stopIfTrue="1" operator="equal">
      <formula>"OK!!"</formula>
    </cfRule>
    <cfRule type="cellIs" dxfId="240" priority="238" stopIfTrue="1" operator="equal">
      <formula>"NO!!"</formula>
    </cfRule>
  </conditionalFormatting>
  <conditionalFormatting sqref="F601">
    <cfRule type="cellIs" dxfId="239" priority="235" stopIfTrue="1" operator="equal">
      <formula>"OK!!"</formula>
    </cfRule>
    <cfRule type="cellIs" dxfId="238" priority="236" stopIfTrue="1" operator="equal">
      <formula>"NO!!"</formula>
    </cfRule>
  </conditionalFormatting>
  <conditionalFormatting sqref="F577">
    <cfRule type="cellIs" dxfId="237" priority="233" stopIfTrue="1" operator="equal">
      <formula>"OK!!"</formula>
    </cfRule>
    <cfRule type="cellIs" dxfId="236" priority="234" stopIfTrue="1" operator="equal">
      <formula>"NO!!"</formula>
    </cfRule>
  </conditionalFormatting>
  <conditionalFormatting sqref="F562">
    <cfRule type="cellIs" dxfId="235" priority="231" stopIfTrue="1" operator="equal">
      <formula>"OK!!"</formula>
    </cfRule>
    <cfRule type="cellIs" dxfId="234" priority="232" stopIfTrue="1" operator="equal">
      <formula>"NO!!"</formula>
    </cfRule>
  </conditionalFormatting>
  <conditionalFormatting sqref="D519">
    <cfRule type="cellIs" dxfId="233" priority="229" stopIfTrue="1" operator="equal">
      <formula>"OK!!"</formula>
    </cfRule>
    <cfRule type="cellIs" dxfId="232" priority="230" stopIfTrue="1" operator="equal">
      <formula>"NO!!"</formula>
    </cfRule>
  </conditionalFormatting>
  <conditionalFormatting sqref="F504">
    <cfRule type="cellIs" dxfId="231" priority="227" stopIfTrue="1" operator="equal">
      <formula>"OK!!"</formula>
    </cfRule>
    <cfRule type="cellIs" dxfId="230" priority="228" stopIfTrue="1" operator="equal">
      <formula>"NO!!"</formula>
    </cfRule>
  </conditionalFormatting>
  <conditionalFormatting sqref="F713">
    <cfRule type="cellIs" dxfId="229" priority="225" stopIfTrue="1" operator="equal">
      <formula>"OK!!"</formula>
    </cfRule>
    <cfRule type="cellIs" dxfId="228" priority="226" stopIfTrue="1" operator="equal">
      <formula>"NO!!"</formula>
    </cfRule>
  </conditionalFormatting>
  <conditionalFormatting sqref="H739">
    <cfRule type="cellIs" dxfId="227" priority="219" stopIfTrue="1" operator="equal">
      <formula>"OK!!"</formula>
    </cfRule>
    <cfRule type="cellIs" dxfId="226" priority="220" stopIfTrue="1" operator="equal">
      <formula>"NO!!"</formula>
    </cfRule>
  </conditionalFormatting>
  <conditionalFormatting sqref="C768:G770 C773:E773 G773 C787 E787:G787 C772:G772 C771:E771 G771:H771 B830 I860:I864">
    <cfRule type="cellIs" dxfId="225" priority="217" stopIfTrue="1" operator="equal">
      <formula>"OK!!"</formula>
    </cfRule>
    <cfRule type="cellIs" dxfId="224" priority="218" stopIfTrue="1" operator="equal">
      <formula>"NO!!"</formula>
    </cfRule>
  </conditionalFormatting>
  <conditionalFormatting sqref="B742 I741:I742">
    <cfRule type="cellIs" dxfId="223" priority="215" stopIfTrue="1" operator="equal">
      <formula>"OK!!"</formula>
    </cfRule>
    <cfRule type="cellIs" dxfId="222" priority="216" stopIfTrue="1" operator="equal">
      <formula>"NO!!"</formula>
    </cfRule>
  </conditionalFormatting>
  <conditionalFormatting sqref="C844:D852 F853:G853 E844:G847 E849:E852 F848:H852 C854:G855 C823:G827 E820:G821 F819:H819 H820:H825 F816:H816 E817:H818 E800:G803 E806:H809 F754:H754 E755:H756 F748:H749 E750:H753 E745:G747 H743:H747 E811:H815 C800:D821 B745:D756 C798:G798 I743:I756 H798:H803 C834:D834 F834 F804:H805 F810:H810 C828:E828 G828 C835:G840 C842:G842 C841:E841 G841 E860:G864">
    <cfRule type="cellIs" dxfId="221" priority="213" stopIfTrue="1" operator="equal">
      <formula>"OK!!"</formula>
    </cfRule>
    <cfRule type="cellIs" dxfId="220" priority="214" stopIfTrue="1" operator="equal">
      <formula>"NO!!"</formula>
    </cfRule>
  </conditionalFormatting>
  <conditionalFormatting sqref="B743:B744">
    <cfRule type="cellIs" dxfId="219" priority="211" stopIfTrue="1" operator="equal">
      <formula>"OK!!"</formula>
    </cfRule>
    <cfRule type="cellIs" dxfId="218" priority="212" stopIfTrue="1" operator="equal">
      <formula>"NO!!"</formula>
    </cfRule>
  </conditionalFormatting>
  <conditionalFormatting sqref="F763:H763 E764:H766 F760:H760 E761:H762 E757:H759 I757:I766 B757:D766">
    <cfRule type="cellIs" dxfId="217" priority="209" stopIfTrue="1" operator="equal">
      <formula>"OK!!"</formula>
    </cfRule>
    <cfRule type="cellIs" dxfId="216" priority="210" stopIfTrue="1" operator="equal">
      <formula>"NO!!"</formula>
    </cfRule>
  </conditionalFormatting>
  <conditionalFormatting sqref="H767:I770 I771">
    <cfRule type="cellIs" dxfId="215" priority="207" stopIfTrue="1" operator="equal">
      <formula>"OK!!"</formula>
    </cfRule>
    <cfRule type="cellIs" dxfId="214" priority="208" stopIfTrue="1" operator="equal">
      <formula>"NO!!"</formula>
    </cfRule>
  </conditionalFormatting>
  <conditionalFormatting sqref="B741">
    <cfRule type="cellIs" dxfId="213" priority="205" stopIfTrue="1" operator="equal">
      <formula>"OK!!"</formula>
    </cfRule>
    <cfRule type="cellIs" dxfId="212" priority="206" stopIfTrue="1" operator="equal">
      <formula>"NO!!"</formula>
    </cfRule>
  </conditionalFormatting>
  <conditionalFormatting sqref="E834">
    <cfRule type="cellIs" dxfId="211" priority="203" stopIfTrue="1" operator="equal">
      <formula>"OK!!"</formula>
    </cfRule>
    <cfRule type="cellIs" dxfId="210" priority="204" stopIfTrue="1" operator="equal">
      <formula>"NO!!"</formula>
    </cfRule>
  </conditionalFormatting>
  <conditionalFormatting sqref="G834">
    <cfRule type="cellIs" dxfId="209" priority="201" stopIfTrue="1" operator="equal">
      <formula>"OK!!"</formula>
    </cfRule>
    <cfRule type="cellIs" dxfId="208" priority="202" stopIfTrue="1" operator="equal">
      <formula>"NO!!"</formula>
    </cfRule>
  </conditionalFormatting>
  <conditionalFormatting sqref="H826">
    <cfRule type="cellIs" dxfId="207" priority="199" stopIfTrue="1" operator="equal">
      <formula>"OK!!"</formula>
    </cfRule>
    <cfRule type="cellIs" dxfId="206" priority="200" stopIfTrue="1" operator="equal">
      <formula>"NO!!"</formula>
    </cfRule>
  </conditionalFormatting>
  <conditionalFormatting sqref="D787">
    <cfRule type="cellIs" dxfId="205" priority="197" stopIfTrue="1" operator="equal">
      <formula>"OK!!"</formula>
    </cfRule>
    <cfRule type="cellIs" dxfId="204" priority="198" stopIfTrue="1" operator="equal">
      <formula>"NO!!"</formula>
    </cfRule>
  </conditionalFormatting>
  <conditionalFormatting sqref="F771">
    <cfRule type="cellIs" dxfId="203" priority="195" stopIfTrue="1" operator="equal">
      <formula>"OK!!"</formula>
    </cfRule>
    <cfRule type="cellIs" dxfId="202" priority="196" stopIfTrue="1" operator="equal">
      <formula>"NO!!"</formula>
    </cfRule>
  </conditionalFormatting>
  <conditionalFormatting sqref="F841">
    <cfRule type="cellIs" dxfId="201" priority="193" stopIfTrue="1" operator="equal">
      <formula>"OK!!"</formula>
    </cfRule>
    <cfRule type="cellIs" dxfId="200" priority="194" stopIfTrue="1" operator="equal">
      <formula>"NO!!"</formula>
    </cfRule>
  </conditionalFormatting>
  <conditionalFormatting sqref="H860:H864">
    <cfRule type="cellIs" dxfId="199" priority="191" stopIfTrue="1" operator="equal">
      <formula>"OK!!"</formula>
    </cfRule>
    <cfRule type="cellIs" dxfId="198" priority="192" stopIfTrue="1" operator="equal">
      <formula>"NO!!"</formula>
    </cfRule>
  </conditionalFormatting>
  <conditionalFormatting sqref="E853">
    <cfRule type="cellIs" dxfId="197" priority="189" stopIfTrue="1" operator="equal">
      <formula>"OK!!"</formula>
    </cfRule>
    <cfRule type="cellIs" dxfId="196" priority="190" stopIfTrue="1" operator="equal">
      <formula>"NO!!"</formula>
    </cfRule>
  </conditionalFormatting>
  <conditionalFormatting sqref="E911">
    <cfRule type="cellIs" dxfId="195" priority="187" stopIfTrue="1" operator="equal">
      <formula>"OK!!"</formula>
    </cfRule>
    <cfRule type="cellIs" dxfId="194" priority="188" stopIfTrue="1" operator="equal">
      <formula>"NO!!"</formula>
    </cfRule>
  </conditionalFormatting>
  <conditionalFormatting sqref="E944:E945">
    <cfRule type="cellIs" dxfId="193" priority="177" stopIfTrue="1" operator="equal">
      <formula>"OK!!"</formula>
    </cfRule>
    <cfRule type="cellIs" dxfId="192" priority="178" stopIfTrue="1" operator="equal">
      <formula>"NO!!"</formula>
    </cfRule>
  </conditionalFormatting>
  <conditionalFormatting sqref="E953">
    <cfRule type="cellIs" dxfId="191" priority="173" stopIfTrue="1" operator="equal">
      <formula>"OK!!"</formula>
    </cfRule>
    <cfRule type="cellIs" dxfId="190" priority="174" stopIfTrue="1" operator="equal">
      <formula>"NO!!"</formula>
    </cfRule>
  </conditionalFormatting>
  <conditionalFormatting sqref="E942 E946:E948 E952 E960">
    <cfRule type="cellIs" dxfId="189" priority="181" stopIfTrue="1" operator="equal">
      <formula>"OK!!"</formula>
    </cfRule>
    <cfRule type="cellIs" dxfId="188" priority="182" stopIfTrue="1" operator="equal">
      <formula>"NO!!"</formula>
    </cfRule>
  </conditionalFormatting>
  <conditionalFormatting sqref="E941">
    <cfRule type="cellIs" dxfId="187" priority="179" stopIfTrue="1" operator="equal">
      <formula>"OK!!"</formula>
    </cfRule>
    <cfRule type="cellIs" dxfId="186" priority="180" stopIfTrue="1" operator="equal">
      <formula>"NO!!"</formula>
    </cfRule>
  </conditionalFormatting>
  <conditionalFormatting sqref="E950">
    <cfRule type="cellIs" dxfId="185" priority="175" stopIfTrue="1" operator="equal">
      <formula>"OK!!"</formula>
    </cfRule>
    <cfRule type="cellIs" dxfId="184" priority="176" stopIfTrue="1" operator="equal">
      <formula>"NO!!"</formula>
    </cfRule>
  </conditionalFormatting>
  <conditionalFormatting sqref="E986">
    <cfRule type="cellIs" dxfId="183" priority="171" stopIfTrue="1" operator="equal">
      <formula>"OK!!"</formula>
    </cfRule>
    <cfRule type="cellIs" dxfId="182" priority="172" stopIfTrue="1" operator="equal">
      <formula>"NO!!"</formula>
    </cfRule>
  </conditionalFormatting>
  <conditionalFormatting sqref="F147 I147">
    <cfRule type="cellIs" dxfId="181" priority="165" stopIfTrue="1" operator="equal">
      <formula>"OK!!"</formula>
    </cfRule>
    <cfRule type="cellIs" dxfId="180" priority="166" stopIfTrue="1" operator="equal">
      <formula>"NO!!"</formula>
    </cfRule>
  </conditionalFormatting>
  <conditionalFormatting sqref="F171">
    <cfRule type="cellIs" dxfId="179" priority="163" stopIfTrue="1" operator="equal">
      <formula>"OK!!"</formula>
    </cfRule>
    <cfRule type="cellIs" dxfId="178" priority="164" stopIfTrue="1" operator="equal">
      <formula>"NO!!"</formula>
    </cfRule>
  </conditionalFormatting>
  <conditionalFormatting sqref="H446">
    <cfRule type="cellIs" dxfId="177" priority="123" stopIfTrue="1" operator="equal">
      <formula>"OK!!"</formula>
    </cfRule>
    <cfRule type="cellIs" dxfId="176" priority="124" stopIfTrue="1" operator="equal">
      <formula>"NO!!"</formula>
    </cfRule>
  </conditionalFormatting>
  <conditionalFormatting sqref="H447">
    <cfRule type="cellIs" dxfId="175" priority="121" stopIfTrue="1" operator="equal">
      <formula>"OK!!"</formula>
    </cfRule>
    <cfRule type="cellIs" dxfId="174" priority="122" stopIfTrue="1" operator="equal">
      <formula>"NO!!"</formula>
    </cfRule>
  </conditionalFormatting>
  <conditionalFormatting sqref="H435">
    <cfRule type="cellIs" dxfId="173" priority="119" stopIfTrue="1" operator="equal">
      <formula>"OK!!"</formula>
    </cfRule>
    <cfRule type="cellIs" dxfId="172" priority="120" stopIfTrue="1" operator="equal">
      <formula>"NO!!"</formula>
    </cfRule>
  </conditionalFormatting>
  <conditionalFormatting sqref="H428">
    <cfRule type="cellIs" dxfId="171" priority="117" stopIfTrue="1" operator="equal">
      <formula>"OK!!"</formula>
    </cfRule>
    <cfRule type="cellIs" dxfId="170" priority="118" stopIfTrue="1" operator="equal">
      <formula>"NO!!"</formula>
    </cfRule>
  </conditionalFormatting>
  <conditionalFormatting sqref="H422">
    <cfRule type="cellIs" dxfId="169" priority="115" stopIfTrue="1" operator="equal">
      <formula>"OK!!"</formula>
    </cfRule>
    <cfRule type="cellIs" dxfId="168" priority="116" stopIfTrue="1" operator="equal">
      <formula>"NO!!"</formula>
    </cfRule>
  </conditionalFormatting>
  <conditionalFormatting sqref="H384">
    <cfRule type="cellIs" dxfId="167" priority="113" stopIfTrue="1" operator="equal">
      <formula>"OK!!"</formula>
    </cfRule>
    <cfRule type="cellIs" dxfId="166" priority="114" stopIfTrue="1" operator="equal">
      <formula>"NO!!"</formula>
    </cfRule>
  </conditionalFormatting>
  <conditionalFormatting sqref="H370">
    <cfRule type="cellIs" dxfId="165" priority="111" stopIfTrue="1" operator="equal">
      <formula>"OK!!"</formula>
    </cfRule>
    <cfRule type="cellIs" dxfId="164" priority="112" stopIfTrue="1" operator="equal">
      <formula>"NO!!"</formula>
    </cfRule>
  </conditionalFormatting>
  <conditionalFormatting sqref="H358">
    <cfRule type="cellIs" dxfId="163" priority="109" stopIfTrue="1" operator="equal">
      <formula>"OK!!"</formula>
    </cfRule>
    <cfRule type="cellIs" dxfId="162" priority="110" stopIfTrue="1" operator="equal">
      <formula>"NO!!"</formula>
    </cfRule>
  </conditionalFormatting>
  <conditionalFormatting sqref="H350">
    <cfRule type="cellIs" dxfId="161" priority="107" stopIfTrue="1" operator="equal">
      <formula>"OK!!"</formula>
    </cfRule>
    <cfRule type="cellIs" dxfId="160" priority="108" stopIfTrue="1" operator="equal">
      <formula>"NO!!"</formula>
    </cfRule>
  </conditionalFormatting>
  <conditionalFormatting sqref="H344">
    <cfRule type="cellIs" dxfId="159" priority="105" stopIfTrue="1" operator="equal">
      <formula>"OK!!"</formula>
    </cfRule>
    <cfRule type="cellIs" dxfId="158" priority="106" stopIfTrue="1" operator="equal">
      <formula>"NO!!"</formula>
    </cfRule>
  </conditionalFormatting>
  <conditionalFormatting sqref="H303">
    <cfRule type="cellIs" dxfId="157" priority="103" stopIfTrue="1" operator="equal">
      <formula>"OK!!"</formula>
    </cfRule>
    <cfRule type="cellIs" dxfId="156" priority="104" stopIfTrue="1" operator="equal">
      <formula>"NO!!"</formula>
    </cfRule>
  </conditionalFormatting>
  <conditionalFormatting sqref="H871">
    <cfRule type="cellIs" dxfId="155" priority="101" stopIfTrue="1" operator="equal">
      <formula>"OK!!"</formula>
    </cfRule>
    <cfRule type="cellIs" dxfId="154" priority="102" stopIfTrue="1" operator="equal">
      <formula>"NO!!"</formula>
    </cfRule>
  </conditionalFormatting>
  <conditionalFormatting sqref="H878">
    <cfRule type="cellIs" dxfId="153" priority="99" stopIfTrue="1" operator="equal">
      <formula>"OK!!"</formula>
    </cfRule>
    <cfRule type="cellIs" dxfId="152" priority="100" stopIfTrue="1" operator="equal">
      <formula>"NO!!"</formula>
    </cfRule>
  </conditionalFormatting>
  <conditionalFormatting sqref="H884">
    <cfRule type="cellIs" dxfId="151" priority="97" stopIfTrue="1" operator="equal">
      <formula>"OK!!"</formula>
    </cfRule>
    <cfRule type="cellIs" dxfId="150" priority="98" stopIfTrue="1" operator="equal">
      <formula>"NO!!"</formula>
    </cfRule>
  </conditionalFormatting>
  <conditionalFormatting sqref="H895">
    <cfRule type="cellIs" dxfId="149" priority="95" stopIfTrue="1" operator="equal">
      <formula>"OK!!"</formula>
    </cfRule>
    <cfRule type="cellIs" dxfId="148" priority="96" stopIfTrue="1" operator="equal">
      <formula>"NO!!"</formula>
    </cfRule>
  </conditionalFormatting>
  <conditionalFormatting sqref="H911">
    <cfRule type="cellIs" dxfId="147" priority="93" stopIfTrue="1" operator="equal">
      <formula>"OK!!"</formula>
    </cfRule>
    <cfRule type="cellIs" dxfId="146" priority="94" stopIfTrue="1" operator="equal">
      <formula>"NO!!"</formula>
    </cfRule>
  </conditionalFormatting>
  <conditionalFormatting sqref="H941">
    <cfRule type="cellIs" dxfId="145" priority="91" stopIfTrue="1" operator="equal">
      <formula>"OK!!"</formula>
    </cfRule>
    <cfRule type="cellIs" dxfId="144" priority="92" stopIfTrue="1" operator="equal">
      <formula>"NO!!"</formula>
    </cfRule>
  </conditionalFormatting>
  <conditionalFormatting sqref="H950">
    <cfRule type="cellIs" dxfId="143" priority="89" stopIfTrue="1" operator="equal">
      <formula>"OK!!"</formula>
    </cfRule>
    <cfRule type="cellIs" dxfId="142" priority="90" stopIfTrue="1" operator="equal">
      <formula>"NO!!"</formula>
    </cfRule>
  </conditionalFormatting>
  <conditionalFormatting sqref="H957">
    <cfRule type="cellIs" dxfId="141" priority="87" stopIfTrue="1" operator="equal">
      <formula>"OK!!"</formula>
    </cfRule>
    <cfRule type="cellIs" dxfId="140" priority="88" stopIfTrue="1" operator="equal">
      <formula>"NO!!"</formula>
    </cfRule>
  </conditionalFormatting>
  <conditionalFormatting sqref="H969">
    <cfRule type="cellIs" dxfId="139" priority="85" stopIfTrue="1" operator="equal">
      <formula>"OK!!"</formula>
    </cfRule>
    <cfRule type="cellIs" dxfId="138" priority="86" stopIfTrue="1" operator="equal">
      <formula>"NO!!"</formula>
    </cfRule>
  </conditionalFormatting>
  <conditionalFormatting sqref="B104">
    <cfRule type="cellIs" dxfId="137" priority="83" stopIfTrue="1" operator="equal">
      <formula>"OK!!"</formula>
    </cfRule>
    <cfRule type="cellIs" dxfId="136" priority="84" stopIfTrue="1" operator="equal">
      <formula>"NO!!"</formula>
    </cfRule>
  </conditionalFormatting>
  <conditionalFormatting sqref="F531:F535">
    <cfRule type="cellIs" dxfId="135" priority="81" stopIfTrue="1" operator="equal">
      <formula>"OK!!"</formula>
    </cfRule>
    <cfRule type="cellIs" dxfId="134" priority="82" stopIfTrue="1" operator="equal">
      <formula>"NO!!"</formula>
    </cfRule>
  </conditionalFormatting>
  <conditionalFormatting sqref="D531:D535">
    <cfRule type="cellIs" dxfId="133" priority="79" stopIfTrue="1" operator="equal">
      <formula>"OK!!"</formula>
    </cfRule>
    <cfRule type="cellIs" dxfId="132" priority="80" stopIfTrue="1" operator="equal">
      <formula>"NO!!"</formula>
    </cfRule>
  </conditionalFormatting>
  <conditionalFormatting sqref="B537:F538 A536:A538">
    <cfRule type="cellIs" dxfId="131" priority="77" stopIfTrue="1" operator="equal">
      <formula>"OK!!"</formula>
    </cfRule>
    <cfRule type="cellIs" dxfId="130" priority="78" stopIfTrue="1" operator="equal">
      <formula>"NO!!"</formula>
    </cfRule>
  </conditionalFormatting>
  <conditionalFormatting sqref="C651:C652 G651:G652 E651:E652 C653:G663 C664:C668 G664:G668 E664:E668">
    <cfRule type="cellIs" dxfId="129" priority="75" stopIfTrue="1" operator="equal">
      <formula>"OK!!"</formula>
    </cfRule>
    <cfRule type="cellIs" dxfId="128" priority="76" stopIfTrue="1" operator="equal">
      <formula>"NO!!"</formula>
    </cfRule>
  </conditionalFormatting>
  <conditionalFormatting sqref="F651:F652">
    <cfRule type="cellIs" dxfId="127" priority="73" stopIfTrue="1" operator="equal">
      <formula>"OK!!"</formula>
    </cfRule>
    <cfRule type="cellIs" dxfId="126" priority="74" stopIfTrue="1" operator="equal">
      <formula>"NO!!"</formula>
    </cfRule>
  </conditionalFormatting>
  <conditionalFormatting sqref="D651:D652">
    <cfRule type="cellIs" dxfId="125" priority="71" stopIfTrue="1" operator="equal">
      <formula>"OK!!"</formula>
    </cfRule>
    <cfRule type="cellIs" dxfId="124" priority="72" stopIfTrue="1" operator="equal">
      <formula>"NO!!"</formula>
    </cfRule>
  </conditionalFormatting>
  <conditionalFormatting sqref="F664:F668">
    <cfRule type="cellIs" dxfId="123" priority="69" stopIfTrue="1" operator="equal">
      <formula>"OK!!"</formula>
    </cfRule>
    <cfRule type="cellIs" dxfId="122" priority="70" stopIfTrue="1" operator="equal">
      <formula>"NO!!"</formula>
    </cfRule>
  </conditionalFormatting>
  <conditionalFormatting sqref="D664:D668">
    <cfRule type="cellIs" dxfId="121" priority="67" stopIfTrue="1" operator="equal">
      <formula>"OK!!"</formula>
    </cfRule>
    <cfRule type="cellIs" dxfId="120" priority="68" stopIfTrue="1" operator="equal">
      <formula>"NO!!"</formula>
    </cfRule>
  </conditionalFormatting>
  <conditionalFormatting sqref="F155:I155">
    <cfRule type="cellIs" dxfId="119" priority="65" stopIfTrue="1" operator="equal">
      <formula>"OK!!"</formula>
    </cfRule>
    <cfRule type="cellIs" dxfId="118" priority="66" stopIfTrue="1" operator="equal">
      <formula>"NO!!"</formula>
    </cfRule>
  </conditionalFormatting>
  <conditionalFormatting sqref="C788:C789 G788:G789 E788:E789 C790:G795 C796:C797 G796:G797 E796:E797">
    <cfRule type="cellIs" dxfId="117" priority="63" stopIfTrue="1" operator="equal">
      <formula>"OK!!"</formula>
    </cfRule>
    <cfRule type="cellIs" dxfId="116" priority="64" stopIfTrue="1" operator="equal">
      <formula>"NO!!"</formula>
    </cfRule>
  </conditionalFormatting>
  <conditionalFormatting sqref="F788:F789">
    <cfRule type="cellIs" dxfId="115" priority="61" stopIfTrue="1" operator="equal">
      <formula>"OK!!"</formula>
    </cfRule>
    <cfRule type="cellIs" dxfId="114" priority="62" stopIfTrue="1" operator="equal">
      <formula>"NO!!"</formula>
    </cfRule>
  </conditionalFormatting>
  <conditionalFormatting sqref="D788:D789">
    <cfRule type="cellIs" dxfId="113" priority="59" stopIfTrue="1" operator="equal">
      <formula>"OK!!"</formula>
    </cfRule>
    <cfRule type="cellIs" dxfId="112" priority="60" stopIfTrue="1" operator="equal">
      <formula>"NO!!"</formula>
    </cfRule>
  </conditionalFormatting>
  <conditionalFormatting sqref="F796:F797">
    <cfRule type="cellIs" dxfId="111" priority="57" stopIfTrue="1" operator="equal">
      <formula>"OK!!"</formula>
    </cfRule>
    <cfRule type="cellIs" dxfId="110" priority="58" stopIfTrue="1" operator="equal">
      <formula>"NO!!"</formula>
    </cfRule>
  </conditionalFormatting>
  <conditionalFormatting sqref="D796:D797">
    <cfRule type="cellIs" dxfId="109" priority="55" stopIfTrue="1" operator="equal">
      <formula>"OK!!"</formula>
    </cfRule>
    <cfRule type="cellIs" dxfId="108" priority="56" stopIfTrue="1" operator="equal">
      <formula>"NO!!"</formula>
    </cfRule>
  </conditionalFormatting>
  <conditionalFormatting sqref="G213">
    <cfRule type="cellIs" dxfId="107" priority="53" stopIfTrue="1" operator="equal">
      <formula>"OK!!"</formula>
    </cfRule>
    <cfRule type="cellIs" dxfId="106" priority="54" stopIfTrue="1" operator="equal">
      <formula>"NO!!"</formula>
    </cfRule>
  </conditionalFormatting>
  <conditionalFormatting sqref="B862:D863">
    <cfRule type="cellIs" dxfId="105" priority="51" stopIfTrue="1" operator="equal">
      <formula>"OK!!"</formula>
    </cfRule>
    <cfRule type="cellIs" dxfId="104" priority="52" stopIfTrue="1" operator="equal">
      <formula>"NO!!"</formula>
    </cfRule>
  </conditionalFormatting>
  <conditionalFormatting sqref="H158:I158">
    <cfRule type="cellIs" dxfId="103" priority="49" stopIfTrue="1" operator="equal">
      <formula>"OK!!"</formula>
    </cfRule>
    <cfRule type="cellIs" dxfId="102" priority="50" stopIfTrue="1" operator="equal">
      <formula>"NO!!"</formula>
    </cfRule>
  </conditionalFormatting>
  <conditionalFormatting sqref="C148:D153 B148:B161 D160:D161 C155:D159">
    <cfRule type="cellIs" dxfId="101" priority="41" stopIfTrue="1" operator="equal">
      <formula>"OK!!"</formula>
    </cfRule>
    <cfRule type="cellIs" dxfId="100" priority="42" stopIfTrue="1" operator="equal">
      <formula>"NO!!"</formula>
    </cfRule>
  </conditionalFormatting>
  <conditionalFormatting sqref="C160:C161">
    <cfRule type="cellIs" dxfId="99" priority="39" stopIfTrue="1" operator="equal">
      <formula>"OK!!"</formula>
    </cfRule>
    <cfRule type="cellIs" dxfId="98" priority="40" stopIfTrue="1" operator="equal">
      <formula>"NO!!"</formula>
    </cfRule>
  </conditionalFormatting>
  <conditionalFormatting sqref="B184:D184">
    <cfRule type="cellIs" dxfId="97" priority="37" stopIfTrue="1" operator="equal">
      <formula>"OK!!"</formula>
    </cfRule>
    <cfRule type="cellIs" dxfId="96" priority="38" stopIfTrue="1" operator="equal">
      <formula>"NO!!"</formula>
    </cfRule>
  </conditionalFormatting>
  <conditionalFormatting sqref="B183:D183">
    <cfRule type="cellIs" dxfId="95" priority="35" stopIfTrue="1" operator="equal">
      <formula>"OK!!"</formula>
    </cfRule>
    <cfRule type="cellIs" dxfId="94" priority="36" stopIfTrue="1" operator="equal">
      <formula>"NO!!"</formula>
    </cfRule>
  </conditionalFormatting>
  <conditionalFormatting sqref="C172:D177 B172:B182 D179:D182">
    <cfRule type="cellIs" dxfId="93" priority="33" stopIfTrue="1" operator="equal">
      <formula>"OK!!"</formula>
    </cfRule>
    <cfRule type="cellIs" dxfId="92" priority="34" stopIfTrue="1" operator="equal">
      <formula>"NO!!"</formula>
    </cfRule>
  </conditionalFormatting>
  <conditionalFormatting sqref="B185 D185">
    <cfRule type="cellIs" dxfId="91" priority="31" stopIfTrue="1" operator="equal">
      <formula>"OK!!"</formula>
    </cfRule>
    <cfRule type="cellIs" dxfId="90" priority="32" stopIfTrue="1" operator="equal">
      <formula>"NO!!"</formula>
    </cfRule>
  </conditionalFormatting>
  <conditionalFormatting sqref="C185">
    <cfRule type="cellIs" dxfId="89" priority="29" stopIfTrue="1" operator="equal">
      <formula>"OK!!"</formula>
    </cfRule>
    <cfRule type="cellIs" dxfId="88" priority="30" stopIfTrue="1" operator="equal">
      <formula>"NO!!"</formula>
    </cfRule>
  </conditionalFormatting>
  <conditionalFormatting sqref="C179:C182">
    <cfRule type="cellIs" dxfId="87" priority="27" stopIfTrue="1" operator="equal">
      <formula>"OK!!"</formula>
    </cfRule>
    <cfRule type="cellIs" dxfId="86" priority="28" stopIfTrue="1" operator="equal">
      <formula>"NO!!"</formula>
    </cfRule>
  </conditionalFormatting>
  <conditionalFormatting sqref="B171">
    <cfRule type="cellIs" dxfId="85" priority="25" stopIfTrue="1" operator="equal">
      <formula>"OK!!"</formula>
    </cfRule>
    <cfRule type="cellIs" dxfId="84" priority="26" stopIfTrue="1" operator="equal">
      <formula>"NO!!"</formula>
    </cfRule>
  </conditionalFormatting>
  <conditionalFormatting sqref="G189 G191:G192 G196">
    <cfRule type="cellIs" dxfId="83" priority="23" stopIfTrue="1" operator="equal">
      <formula>"OK!!"</formula>
    </cfRule>
    <cfRule type="cellIs" dxfId="82" priority="24" stopIfTrue="1" operator="equal">
      <formula>"NO!!"</formula>
    </cfRule>
  </conditionalFormatting>
  <conditionalFormatting sqref="G188">
    <cfRule type="cellIs" dxfId="81" priority="21" stopIfTrue="1" operator="equal">
      <formula>"OK!!"</formula>
    </cfRule>
    <cfRule type="cellIs" dxfId="80" priority="22" stopIfTrue="1" operator="equal">
      <formula>"NO!!"</formula>
    </cfRule>
  </conditionalFormatting>
  <conditionalFormatting sqref="G194">
    <cfRule type="cellIs" dxfId="79" priority="19" stopIfTrue="1" operator="equal">
      <formula>"OK!!"</formula>
    </cfRule>
    <cfRule type="cellIs" dxfId="78" priority="20" stopIfTrue="1" operator="equal">
      <formula>"NO!!"</formula>
    </cfRule>
  </conditionalFormatting>
  <conditionalFormatting sqref="B217 G217 E217 B219:B220 B223:C223 E223 E219:E221 G223">
    <cfRule type="cellIs" dxfId="77" priority="11" stopIfTrue="1" operator="equal">
      <formula>"OK!!"</formula>
    </cfRule>
    <cfRule type="cellIs" dxfId="76" priority="12" stopIfTrue="1" operator="equal">
      <formula>"NO!!"</formula>
    </cfRule>
  </conditionalFormatting>
  <conditionalFormatting sqref="C220 G219:G220">
    <cfRule type="cellIs" dxfId="75" priority="13" stopIfTrue="1" operator="equal">
      <formula>"OK!"</formula>
    </cfRule>
    <cfRule type="cellIs" dxfId="74" priority="14" stopIfTrue="1" operator="equal">
      <formula>"NO!"</formula>
    </cfRule>
  </conditionalFormatting>
  <conditionalFormatting sqref="B218">
    <cfRule type="cellIs" dxfId="73" priority="9" stopIfTrue="1" operator="equal">
      <formula>"OK!!"</formula>
    </cfRule>
    <cfRule type="cellIs" dxfId="72" priority="10" stopIfTrue="1" operator="equal">
      <formula>"NO!!"</formula>
    </cfRule>
  </conditionalFormatting>
  <conditionalFormatting sqref="B221">
    <cfRule type="cellIs" dxfId="71" priority="5" stopIfTrue="1" operator="equal">
      <formula>"OK!!"</formula>
    </cfRule>
    <cfRule type="cellIs" dxfId="70" priority="6" stopIfTrue="1" operator="equal">
      <formula>"NO!!"</formula>
    </cfRule>
  </conditionalFormatting>
  <conditionalFormatting sqref="G221">
    <cfRule type="cellIs" dxfId="69" priority="7" stopIfTrue="1" operator="equal">
      <formula>"OK!"</formula>
    </cfRule>
    <cfRule type="cellIs" dxfId="68" priority="8" stopIfTrue="1" operator="equal">
      <formula>"NO!"</formula>
    </cfRule>
  </conditionalFormatting>
  <conditionalFormatting sqref="E224:E225 B224:C225 G224:G225">
    <cfRule type="cellIs" dxfId="67" priority="1" stopIfTrue="1" operator="equal">
      <formula>"OK!!"</formula>
    </cfRule>
    <cfRule type="cellIs" dxfId="66" priority="2" stopIfTrue="1" operator="equal">
      <formula>"NO!!"</formula>
    </cfRule>
  </conditionalFormatting>
  <printOptions verticalCentered="1"/>
  <pageMargins left="0.23622047244094491" right="0.23622047244094491" top="0.74803149606299213" bottom="0.74803149606299213" header="0.31496062992125984" footer="0.31496062992125984"/>
  <pageSetup paperSize="9" orientation="portrait" r:id="rId1"/>
  <headerFooter alignWithMargins="0">
    <oddHeader>&amp;L&amp;G</oddHeader>
    <oddFooter>&amp;L&amp;G&amp;R&amp;P</oddFooter>
  </headerFooter>
  <drawing r:id="rId2"/>
  <legacyDrawing r:id="rId3"/>
  <legacyDrawingHF r:id="rId4"/>
  <oleObjects>
    <mc:AlternateContent xmlns:mc="http://schemas.openxmlformats.org/markup-compatibility/2006">
      <mc:Choice Requires="x14">
        <oleObject progId="Equation.DSMT4" shapeId="19457" r:id="rId5">
          <objectPr defaultSize="0" autoPict="0" r:id="rId6">
            <anchor moveWithCells="1">
              <from>
                <xdr:col>1</xdr:col>
                <xdr:colOff>609600</xdr:colOff>
                <xdr:row>233</xdr:row>
                <xdr:rowOff>114300</xdr:rowOff>
              </from>
              <to>
                <xdr:col>4</xdr:col>
                <xdr:colOff>152400</xdr:colOff>
                <xdr:row>233</xdr:row>
                <xdr:rowOff>381000</xdr:rowOff>
              </to>
            </anchor>
          </objectPr>
        </oleObject>
      </mc:Choice>
      <mc:Fallback>
        <oleObject progId="Equation.DSMT4" shapeId="19457" r:id="rId5"/>
      </mc:Fallback>
    </mc:AlternateContent>
    <mc:AlternateContent xmlns:mc="http://schemas.openxmlformats.org/markup-compatibility/2006">
      <mc:Choice Requires="x14">
        <oleObject progId="Equation.DSMT4" shapeId="19458" r:id="rId7">
          <objectPr defaultSize="0" autoPict="0" r:id="rId8">
            <anchor moveWithCells="1">
              <from>
                <xdr:col>1</xdr:col>
                <xdr:colOff>1095375</xdr:colOff>
                <xdr:row>280</xdr:row>
                <xdr:rowOff>95250</xdr:rowOff>
              </from>
              <to>
                <xdr:col>5</xdr:col>
                <xdr:colOff>390525</xdr:colOff>
                <xdr:row>282</xdr:row>
                <xdr:rowOff>47625</xdr:rowOff>
              </to>
            </anchor>
          </objectPr>
        </oleObject>
      </mc:Choice>
      <mc:Fallback>
        <oleObject progId="Equation.DSMT4" shapeId="19458" r:id="rId7"/>
      </mc:Fallback>
    </mc:AlternateContent>
    <mc:AlternateContent xmlns:mc="http://schemas.openxmlformats.org/markup-compatibility/2006">
      <mc:Choice Requires="x14">
        <oleObject progId="Equation.DSMT4" shapeId="19459" r:id="rId9">
          <objectPr defaultSize="0" autoPict="0" r:id="rId10">
            <anchor moveWithCells="1">
              <from>
                <xdr:col>2</xdr:col>
                <xdr:colOff>371475</xdr:colOff>
                <xdr:row>287</xdr:row>
                <xdr:rowOff>95250</xdr:rowOff>
              </from>
              <to>
                <xdr:col>5</xdr:col>
                <xdr:colOff>133350</xdr:colOff>
                <xdr:row>291</xdr:row>
                <xdr:rowOff>47625</xdr:rowOff>
              </to>
            </anchor>
          </objectPr>
        </oleObject>
      </mc:Choice>
      <mc:Fallback>
        <oleObject progId="Equation.DSMT4" shapeId="19459" r:id="rId9"/>
      </mc:Fallback>
    </mc:AlternateContent>
    <mc:AlternateContent xmlns:mc="http://schemas.openxmlformats.org/markup-compatibility/2006">
      <mc:Choice Requires="x14">
        <oleObject progId="Equation.DSMT4" shapeId="19460" r:id="rId11">
          <objectPr defaultSize="0" autoPict="0" r:id="rId12">
            <anchor moveWithCells="1">
              <from>
                <xdr:col>2</xdr:col>
                <xdr:colOff>323850</xdr:colOff>
                <xdr:row>292</xdr:row>
                <xdr:rowOff>9525</xdr:rowOff>
              </from>
              <to>
                <xdr:col>5</xdr:col>
                <xdr:colOff>47625</xdr:colOff>
                <xdr:row>295</xdr:row>
                <xdr:rowOff>57150</xdr:rowOff>
              </to>
            </anchor>
          </objectPr>
        </oleObject>
      </mc:Choice>
      <mc:Fallback>
        <oleObject progId="Equation.DSMT4" shapeId="19460" r:id="rId11"/>
      </mc:Fallback>
    </mc:AlternateContent>
    <mc:AlternateContent xmlns:mc="http://schemas.openxmlformats.org/markup-compatibility/2006">
      <mc:Choice Requires="x14">
        <oleObject progId="Equation.DSMT4" shapeId="19461" r:id="rId13">
          <objectPr defaultSize="0" autoPict="0" r:id="rId14">
            <anchor moveWithCells="1">
              <from>
                <xdr:col>3</xdr:col>
                <xdr:colOff>466725</xdr:colOff>
                <xdr:row>298</xdr:row>
                <xdr:rowOff>142875</xdr:rowOff>
              </from>
              <to>
                <xdr:col>5</xdr:col>
                <xdr:colOff>104775</xdr:colOff>
                <xdr:row>300</xdr:row>
                <xdr:rowOff>66675</xdr:rowOff>
              </to>
            </anchor>
          </objectPr>
        </oleObject>
      </mc:Choice>
      <mc:Fallback>
        <oleObject progId="Equation.DSMT4" shapeId="19461" r:id="rId13"/>
      </mc:Fallback>
    </mc:AlternateContent>
    <mc:AlternateContent xmlns:mc="http://schemas.openxmlformats.org/markup-compatibility/2006">
      <mc:Choice Requires="x14">
        <oleObject progId="Equation.DSMT4" shapeId="19462" r:id="rId15">
          <objectPr defaultSize="0" autoPict="0" r:id="rId16">
            <anchor moveWithCells="1">
              <from>
                <xdr:col>1</xdr:col>
                <xdr:colOff>247650</xdr:colOff>
                <xdr:row>301</xdr:row>
                <xdr:rowOff>114300</xdr:rowOff>
              </from>
              <to>
                <xdr:col>5</xdr:col>
                <xdr:colOff>428625</xdr:colOff>
                <xdr:row>303</xdr:row>
                <xdr:rowOff>66675</xdr:rowOff>
              </to>
            </anchor>
          </objectPr>
        </oleObject>
      </mc:Choice>
      <mc:Fallback>
        <oleObject progId="Equation.DSMT4" shapeId="19462" r:id="rId15"/>
      </mc:Fallback>
    </mc:AlternateContent>
    <mc:AlternateContent xmlns:mc="http://schemas.openxmlformats.org/markup-compatibility/2006">
      <mc:Choice Requires="x14">
        <oleObject progId="Equation.DSMT4" shapeId="19463" r:id="rId17">
          <objectPr defaultSize="0" r:id="rId18">
            <anchor moveWithCells="1">
              <from>
                <xdr:col>3</xdr:col>
                <xdr:colOff>133350</xdr:colOff>
                <xdr:row>307</xdr:row>
                <xdr:rowOff>38100</xdr:rowOff>
              </from>
              <to>
                <xdr:col>5</xdr:col>
                <xdr:colOff>514350</xdr:colOff>
                <xdr:row>311</xdr:row>
                <xdr:rowOff>0</xdr:rowOff>
              </to>
            </anchor>
          </objectPr>
        </oleObject>
      </mc:Choice>
      <mc:Fallback>
        <oleObject progId="Equation.DSMT4" shapeId="19463" r:id="rId17"/>
      </mc:Fallback>
    </mc:AlternateContent>
    <mc:AlternateContent xmlns:mc="http://schemas.openxmlformats.org/markup-compatibility/2006">
      <mc:Choice Requires="x14">
        <oleObject progId="Equation.DSMT4" shapeId="19464" r:id="rId19">
          <objectPr defaultSize="0" autoPict="0" r:id="rId20">
            <anchor moveWithCells="1">
              <from>
                <xdr:col>2</xdr:col>
                <xdr:colOff>209550</xdr:colOff>
                <xdr:row>476</xdr:row>
                <xdr:rowOff>152400</xdr:rowOff>
              </from>
              <to>
                <xdr:col>5</xdr:col>
                <xdr:colOff>38100</xdr:colOff>
                <xdr:row>480</xdr:row>
                <xdr:rowOff>9525</xdr:rowOff>
              </to>
            </anchor>
          </objectPr>
        </oleObject>
      </mc:Choice>
      <mc:Fallback>
        <oleObject progId="Equation.DSMT4" shapeId="19464" r:id="rId19"/>
      </mc:Fallback>
    </mc:AlternateContent>
    <mc:AlternateContent xmlns:mc="http://schemas.openxmlformats.org/markup-compatibility/2006">
      <mc:Choice Requires="x14">
        <oleObject progId="Equation.DSMT4" shapeId="19465" r:id="rId21">
          <objectPr defaultSize="0" autoPict="0" r:id="rId22">
            <anchor moveWithCells="1">
              <from>
                <xdr:col>2</xdr:col>
                <xdr:colOff>285750</xdr:colOff>
                <xdr:row>482</xdr:row>
                <xdr:rowOff>152400</xdr:rowOff>
              </from>
              <to>
                <xdr:col>5</xdr:col>
                <xdr:colOff>0</xdr:colOff>
                <xdr:row>486</xdr:row>
                <xdr:rowOff>47625</xdr:rowOff>
              </to>
            </anchor>
          </objectPr>
        </oleObject>
      </mc:Choice>
      <mc:Fallback>
        <oleObject progId="Equation.DSMT4" shapeId="19465" r:id="rId21"/>
      </mc:Fallback>
    </mc:AlternateContent>
    <mc:AlternateContent xmlns:mc="http://schemas.openxmlformats.org/markup-compatibility/2006">
      <mc:Choice Requires="x14">
        <oleObject progId="Equation.DSMT4" shapeId="19466" r:id="rId23">
          <objectPr defaultSize="0" autoPict="0" r:id="rId24">
            <anchor moveWithCells="1">
              <from>
                <xdr:col>2</xdr:col>
                <xdr:colOff>190500</xdr:colOff>
                <xdr:row>538</xdr:row>
                <xdr:rowOff>114300</xdr:rowOff>
              </from>
              <to>
                <xdr:col>5</xdr:col>
                <xdr:colOff>9525</xdr:colOff>
                <xdr:row>541</xdr:row>
                <xdr:rowOff>133350</xdr:rowOff>
              </to>
            </anchor>
          </objectPr>
        </oleObject>
      </mc:Choice>
      <mc:Fallback>
        <oleObject progId="Equation.DSMT4" shapeId="19466" r:id="rId23"/>
      </mc:Fallback>
    </mc:AlternateContent>
    <mc:AlternateContent xmlns:mc="http://schemas.openxmlformats.org/markup-compatibility/2006">
      <mc:Choice Requires="x14">
        <oleObject progId="Equation.DSMT4" shapeId="19467" r:id="rId25">
          <objectPr defaultSize="0" autoPict="0" r:id="rId26">
            <anchor moveWithCells="1">
              <from>
                <xdr:col>2</xdr:col>
                <xdr:colOff>314325</xdr:colOff>
                <xdr:row>544</xdr:row>
                <xdr:rowOff>19050</xdr:rowOff>
              </from>
              <to>
                <xdr:col>5</xdr:col>
                <xdr:colOff>38100</xdr:colOff>
                <xdr:row>547</xdr:row>
                <xdr:rowOff>76200</xdr:rowOff>
              </to>
            </anchor>
          </objectPr>
        </oleObject>
      </mc:Choice>
      <mc:Fallback>
        <oleObject progId="Equation.DSMT4" shapeId="19467" r:id="rId25"/>
      </mc:Fallback>
    </mc:AlternateContent>
    <mc:AlternateContent xmlns:mc="http://schemas.openxmlformats.org/markup-compatibility/2006">
      <mc:Choice Requires="x14">
        <oleObject progId="Equation.DSMT4" shapeId="19468" r:id="rId27">
          <objectPr defaultSize="0" autoPict="0" r:id="rId28">
            <anchor moveWithCells="1">
              <from>
                <xdr:col>3</xdr:col>
                <xdr:colOff>390525</xdr:colOff>
                <xdr:row>549</xdr:row>
                <xdr:rowOff>152400</xdr:rowOff>
              </from>
              <to>
                <xdr:col>4</xdr:col>
                <xdr:colOff>514350</xdr:colOff>
                <xdr:row>553</xdr:row>
                <xdr:rowOff>38100</xdr:rowOff>
              </to>
            </anchor>
          </objectPr>
        </oleObject>
      </mc:Choice>
      <mc:Fallback>
        <oleObject progId="Equation.DSMT4" shapeId="19468" r:id="rId27"/>
      </mc:Fallback>
    </mc:AlternateContent>
    <mc:AlternateContent xmlns:mc="http://schemas.openxmlformats.org/markup-compatibility/2006">
      <mc:Choice Requires="x14">
        <oleObject progId="Equation.DSMT4" shapeId="19469" r:id="rId29">
          <objectPr defaultSize="0" autoPict="0" r:id="rId30">
            <anchor moveWithCells="1">
              <from>
                <xdr:col>3</xdr:col>
                <xdr:colOff>9525</xdr:colOff>
                <xdr:row>553</xdr:row>
                <xdr:rowOff>9525</xdr:rowOff>
              </from>
              <to>
                <xdr:col>4</xdr:col>
                <xdr:colOff>533400</xdr:colOff>
                <xdr:row>556</xdr:row>
                <xdr:rowOff>9525</xdr:rowOff>
              </to>
            </anchor>
          </objectPr>
        </oleObject>
      </mc:Choice>
      <mc:Fallback>
        <oleObject progId="Equation.DSMT4" shapeId="19469" r:id="rId29"/>
      </mc:Fallback>
    </mc:AlternateContent>
    <mc:AlternateContent xmlns:mc="http://schemas.openxmlformats.org/markup-compatibility/2006">
      <mc:Choice Requires="x14">
        <oleObject progId="Equation.DSMT4" shapeId="19470" r:id="rId31">
          <objectPr defaultSize="0" autoPict="0" r:id="rId32">
            <anchor moveWithCells="1">
              <from>
                <xdr:col>1</xdr:col>
                <xdr:colOff>1200150</xdr:colOff>
                <xdr:row>560</xdr:row>
                <xdr:rowOff>9525</xdr:rowOff>
              </from>
              <to>
                <xdr:col>3</xdr:col>
                <xdr:colOff>485775</xdr:colOff>
                <xdr:row>563</xdr:row>
                <xdr:rowOff>19050</xdr:rowOff>
              </to>
            </anchor>
          </objectPr>
        </oleObject>
      </mc:Choice>
      <mc:Fallback>
        <oleObject progId="Equation.DSMT4" shapeId="19470" r:id="rId31"/>
      </mc:Fallback>
    </mc:AlternateContent>
    <mc:AlternateContent xmlns:mc="http://schemas.openxmlformats.org/markup-compatibility/2006">
      <mc:Choice Requires="x14">
        <oleObject progId="Equation.DSMT4" shapeId="19471" r:id="rId33">
          <objectPr defaultSize="0" autoPict="0" r:id="rId34">
            <anchor moveWithCells="1">
              <from>
                <xdr:col>4</xdr:col>
                <xdr:colOff>352425</xdr:colOff>
                <xdr:row>573</xdr:row>
                <xdr:rowOff>123825</xdr:rowOff>
              </from>
              <to>
                <xdr:col>6</xdr:col>
                <xdr:colOff>57150</xdr:colOff>
                <xdr:row>575</xdr:row>
                <xdr:rowOff>57150</xdr:rowOff>
              </to>
            </anchor>
          </objectPr>
        </oleObject>
      </mc:Choice>
      <mc:Fallback>
        <oleObject progId="Equation.DSMT4" shapeId="19471" r:id="rId33"/>
      </mc:Fallback>
    </mc:AlternateContent>
    <mc:AlternateContent xmlns:mc="http://schemas.openxmlformats.org/markup-compatibility/2006">
      <mc:Choice Requires="x14">
        <oleObject progId="Equation.DSMT4" shapeId="19472" r:id="rId35">
          <objectPr defaultSize="0" autoPict="0" r:id="rId36">
            <anchor moveWithCells="1">
              <from>
                <xdr:col>2</xdr:col>
                <xdr:colOff>209550</xdr:colOff>
                <xdr:row>580</xdr:row>
                <xdr:rowOff>142875</xdr:rowOff>
              </from>
              <to>
                <xdr:col>4</xdr:col>
                <xdr:colOff>514350</xdr:colOff>
                <xdr:row>584</xdr:row>
                <xdr:rowOff>85725</xdr:rowOff>
              </to>
            </anchor>
          </objectPr>
        </oleObject>
      </mc:Choice>
      <mc:Fallback>
        <oleObject progId="Equation.DSMT4" shapeId="19472" r:id="rId35"/>
      </mc:Fallback>
    </mc:AlternateContent>
    <mc:AlternateContent xmlns:mc="http://schemas.openxmlformats.org/markup-compatibility/2006">
      <mc:Choice Requires="x14">
        <oleObject progId="Equation.DSMT4" shapeId="19473" r:id="rId37">
          <objectPr defaultSize="0" autoPict="0" r:id="rId38">
            <anchor moveWithCells="1">
              <from>
                <xdr:col>3</xdr:col>
                <xdr:colOff>333375</xdr:colOff>
                <xdr:row>586</xdr:row>
                <xdr:rowOff>9525</xdr:rowOff>
              </from>
              <to>
                <xdr:col>5</xdr:col>
                <xdr:colOff>142875</xdr:colOff>
                <xdr:row>588</xdr:row>
                <xdr:rowOff>133350</xdr:rowOff>
              </to>
            </anchor>
          </objectPr>
        </oleObject>
      </mc:Choice>
      <mc:Fallback>
        <oleObject progId="Equation.DSMT4" shapeId="19473" r:id="rId37"/>
      </mc:Fallback>
    </mc:AlternateContent>
    <mc:AlternateContent xmlns:mc="http://schemas.openxmlformats.org/markup-compatibility/2006">
      <mc:Choice Requires="x14">
        <oleObject progId="Equation.DSMT4" shapeId="19474" r:id="rId39">
          <objectPr defaultSize="0" autoPict="0" r:id="rId40">
            <anchor moveWithCells="1">
              <from>
                <xdr:col>4</xdr:col>
                <xdr:colOff>476250</xdr:colOff>
                <xdr:row>597</xdr:row>
                <xdr:rowOff>57150</xdr:rowOff>
              </from>
              <to>
                <xdr:col>6</xdr:col>
                <xdr:colOff>0</xdr:colOff>
                <xdr:row>598</xdr:row>
                <xdr:rowOff>142875</xdr:rowOff>
              </to>
            </anchor>
          </objectPr>
        </oleObject>
      </mc:Choice>
      <mc:Fallback>
        <oleObject progId="Equation.DSMT4" shapeId="19474" r:id="rId39"/>
      </mc:Fallback>
    </mc:AlternateContent>
    <mc:AlternateContent xmlns:mc="http://schemas.openxmlformats.org/markup-compatibility/2006">
      <mc:Choice Requires="x14">
        <oleObject progId="Equation.DSMT4" shapeId="19475" r:id="rId41">
          <objectPr defaultSize="0" autoPict="0" r:id="rId42">
            <anchor moveWithCells="1">
              <from>
                <xdr:col>1</xdr:col>
                <xdr:colOff>828675</xdr:colOff>
                <xdr:row>893</xdr:row>
                <xdr:rowOff>104775</xdr:rowOff>
              </from>
              <to>
                <xdr:col>5</xdr:col>
                <xdr:colOff>123825</xdr:colOff>
                <xdr:row>895</xdr:row>
                <xdr:rowOff>38100</xdr:rowOff>
              </to>
            </anchor>
          </objectPr>
        </oleObject>
      </mc:Choice>
      <mc:Fallback>
        <oleObject progId="Equation.DSMT4" shapeId="19475" r:id="rId41"/>
      </mc:Fallback>
    </mc:AlternateContent>
    <mc:AlternateContent xmlns:mc="http://schemas.openxmlformats.org/markup-compatibility/2006">
      <mc:Choice Requires="x14">
        <oleObject progId="Equation.DSMT4" shapeId="19476" r:id="rId43">
          <objectPr defaultSize="0" autoPict="0" r:id="rId44">
            <anchor moveWithCells="1">
              <from>
                <xdr:col>2</xdr:col>
                <xdr:colOff>238125</xdr:colOff>
                <xdr:row>899</xdr:row>
                <xdr:rowOff>85725</xdr:rowOff>
              </from>
              <to>
                <xdr:col>5</xdr:col>
                <xdr:colOff>66675</xdr:colOff>
                <xdr:row>903</xdr:row>
                <xdr:rowOff>57150</xdr:rowOff>
              </to>
            </anchor>
          </objectPr>
        </oleObject>
      </mc:Choice>
      <mc:Fallback>
        <oleObject progId="Equation.DSMT4" shapeId="19476" r:id="rId43"/>
      </mc:Fallback>
    </mc:AlternateContent>
    <mc:AlternateContent xmlns:mc="http://schemas.openxmlformats.org/markup-compatibility/2006">
      <mc:Choice Requires="x14">
        <oleObject progId="Equation.DSMT4" shapeId="19477" r:id="rId45">
          <objectPr defaultSize="0" autoPict="0" r:id="rId46">
            <anchor moveWithCells="1">
              <from>
                <xdr:col>2</xdr:col>
                <xdr:colOff>333375</xdr:colOff>
                <xdr:row>904</xdr:row>
                <xdr:rowOff>9525</xdr:rowOff>
              </from>
              <to>
                <xdr:col>5</xdr:col>
                <xdr:colOff>57150</xdr:colOff>
                <xdr:row>907</xdr:row>
                <xdr:rowOff>57150</xdr:rowOff>
              </to>
            </anchor>
          </objectPr>
        </oleObject>
      </mc:Choice>
      <mc:Fallback>
        <oleObject progId="Equation.DSMT4" shapeId="19477" r:id="rId45"/>
      </mc:Fallback>
    </mc:AlternateContent>
    <mc:AlternateContent xmlns:mc="http://schemas.openxmlformats.org/markup-compatibility/2006">
      <mc:Choice Requires="x14">
        <oleObject progId="Equation.DSMT4" shapeId="19478" r:id="rId47">
          <objectPr defaultSize="0" autoPict="0" r:id="rId14">
            <anchor moveWithCells="1">
              <from>
                <xdr:col>3</xdr:col>
                <xdr:colOff>419100</xdr:colOff>
                <xdr:row>908</xdr:row>
                <xdr:rowOff>0</xdr:rowOff>
              </from>
              <to>
                <xdr:col>5</xdr:col>
                <xdr:colOff>47625</xdr:colOff>
                <xdr:row>909</xdr:row>
                <xdr:rowOff>85725</xdr:rowOff>
              </to>
            </anchor>
          </objectPr>
        </oleObject>
      </mc:Choice>
      <mc:Fallback>
        <oleObject progId="Equation.DSMT4" shapeId="19478" r:id="rId47"/>
      </mc:Fallback>
    </mc:AlternateContent>
    <mc:AlternateContent xmlns:mc="http://schemas.openxmlformats.org/markup-compatibility/2006">
      <mc:Choice Requires="x14">
        <oleObject progId="Equation.DSMT4" shapeId="19479" r:id="rId48">
          <objectPr defaultSize="0" autoPict="0" r:id="rId49">
            <anchor moveWithCells="1">
              <from>
                <xdr:col>2</xdr:col>
                <xdr:colOff>57150</xdr:colOff>
                <xdr:row>973</xdr:row>
                <xdr:rowOff>57150</xdr:rowOff>
              </from>
              <to>
                <xdr:col>4</xdr:col>
                <xdr:colOff>495300</xdr:colOff>
                <xdr:row>977</xdr:row>
                <xdr:rowOff>38100</xdr:rowOff>
              </to>
            </anchor>
          </objectPr>
        </oleObject>
      </mc:Choice>
      <mc:Fallback>
        <oleObject progId="Equation.DSMT4" shapeId="19479" r:id="rId48"/>
      </mc:Fallback>
    </mc:AlternateContent>
    <mc:AlternateContent xmlns:mc="http://schemas.openxmlformats.org/markup-compatibility/2006">
      <mc:Choice Requires="x14">
        <oleObject progId="Equation.DSMT4" shapeId="19480" r:id="rId50">
          <objectPr defaultSize="0" autoPict="0" r:id="rId14">
            <anchor moveWithCells="1">
              <from>
                <xdr:col>3</xdr:col>
                <xdr:colOff>209550</xdr:colOff>
                <xdr:row>981</xdr:row>
                <xdr:rowOff>114300</xdr:rowOff>
              </from>
              <to>
                <xdr:col>4</xdr:col>
                <xdr:colOff>457200</xdr:colOff>
                <xdr:row>983</xdr:row>
                <xdr:rowOff>38100</xdr:rowOff>
              </to>
            </anchor>
          </objectPr>
        </oleObject>
      </mc:Choice>
      <mc:Fallback>
        <oleObject progId="Equation.DSMT4" shapeId="19480" r:id="rId50"/>
      </mc:Fallback>
    </mc:AlternateContent>
    <mc:AlternateContent xmlns:mc="http://schemas.openxmlformats.org/markup-compatibility/2006">
      <mc:Choice Requires="x14">
        <oleObject progId="Equation.DSMT4" shapeId="19481" r:id="rId51">
          <objectPr defaultSize="0" autoPict="0" r:id="rId52">
            <anchor moveWithCells="1">
              <from>
                <xdr:col>2</xdr:col>
                <xdr:colOff>390525</xdr:colOff>
                <xdr:row>926</xdr:row>
                <xdr:rowOff>76200</xdr:rowOff>
              </from>
              <to>
                <xdr:col>5</xdr:col>
                <xdr:colOff>133350</xdr:colOff>
                <xdr:row>929</xdr:row>
                <xdr:rowOff>104775</xdr:rowOff>
              </to>
            </anchor>
          </objectPr>
        </oleObject>
      </mc:Choice>
      <mc:Fallback>
        <oleObject progId="Equation.DSMT4" shapeId="19481" r:id="rId51"/>
      </mc:Fallback>
    </mc:AlternateContent>
    <mc:AlternateContent xmlns:mc="http://schemas.openxmlformats.org/markup-compatibility/2006">
      <mc:Choice Requires="x14">
        <oleObject progId="Equation.DSMT4" shapeId="19482" r:id="rId53">
          <objectPr defaultSize="0" autoPict="0" r:id="rId54">
            <anchor moveWithCells="1">
              <from>
                <xdr:col>2</xdr:col>
                <xdr:colOff>428625</xdr:colOff>
                <xdr:row>931</xdr:row>
                <xdr:rowOff>133350</xdr:rowOff>
              </from>
              <to>
                <xdr:col>5</xdr:col>
                <xdr:colOff>114300</xdr:colOff>
                <xdr:row>935</xdr:row>
                <xdr:rowOff>9525</xdr:rowOff>
              </to>
            </anchor>
          </objectPr>
        </oleObject>
      </mc:Choice>
      <mc:Fallback>
        <oleObject progId="Equation.DSMT4" shapeId="19482" r:id="rId53"/>
      </mc:Fallback>
    </mc:AlternateContent>
    <mc:AlternateContent xmlns:mc="http://schemas.openxmlformats.org/markup-compatibility/2006">
      <mc:Choice Requires="x14">
        <oleObject progId="Equation.DSMT4" shapeId="19483" r:id="rId55">
          <objectPr defaultSize="0" autoPict="0" r:id="rId56">
            <anchor moveWithCells="1">
              <from>
                <xdr:col>2</xdr:col>
                <xdr:colOff>381000</xdr:colOff>
                <xdr:row>997</xdr:row>
                <xdr:rowOff>57150</xdr:rowOff>
              </from>
              <to>
                <xdr:col>4</xdr:col>
                <xdr:colOff>466725</xdr:colOff>
                <xdr:row>1000</xdr:row>
                <xdr:rowOff>9525</xdr:rowOff>
              </to>
            </anchor>
          </objectPr>
        </oleObject>
      </mc:Choice>
      <mc:Fallback>
        <oleObject progId="Equation.DSMT4" shapeId="19483" r:id="rId55"/>
      </mc:Fallback>
    </mc:AlternateContent>
    <mc:AlternateContent xmlns:mc="http://schemas.openxmlformats.org/markup-compatibility/2006">
      <mc:Choice Requires="x14">
        <oleObject progId="Equation.DSMT4" shapeId="19485" r:id="rId57">
          <objectPr defaultSize="0" autoPict="0" r:id="rId58">
            <anchor moveWithCells="1">
              <from>
                <xdr:col>3</xdr:col>
                <xdr:colOff>428625</xdr:colOff>
                <xdr:row>491</xdr:row>
                <xdr:rowOff>0</xdr:rowOff>
              </from>
              <to>
                <xdr:col>5</xdr:col>
                <xdr:colOff>0</xdr:colOff>
                <xdr:row>494</xdr:row>
                <xdr:rowOff>38100</xdr:rowOff>
              </to>
            </anchor>
          </objectPr>
        </oleObject>
      </mc:Choice>
      <mc:Fallback>
        <oleObject progId="Equation.DSMT4" shapeId="19485" r:id="rId57"/>
      </mc:Fallback>
    </mc:AlternateContent>
    <mc:AlternateContent xmlns:mc="http://schemas.openxmlformats.org/markup-compatibility/2006">
      <mc:Choice Requires="x14">
        <oleObject progId="Equation.DSMT4" shapeId="19486" r:id="rId59">
          <objectPr defaultSize="0" autoPict="0" r:id="rId60">
            <anchor moveWithCells="1">
              <from>
                <xdr:col>2</xdr:col>
                <xdr:colOff>590550</xdr:colOff>
                <xdr:row>494</xdr:row>
                <xdr:rowOff>9525</xdr:rowOff>
              </from>
              <to>
                <xdr:col>5</xdr:col>
                <xdr:colOff>47625</xdr:colOff>
                <xdr:row>497</xdr:row>
                <xdr:rowOff>57150</xdr:rowOff>
              </to>
            </anchor>
          </objectPr>
        </oleObject>
      </mc:Choice>
      <mc:Fallback>
        <oleObject progId="Equation.DSMT4" shapeId="19486" r:id="rId59"/>
      </mc:Fallback>
    </mc:AlternateContent>
    <mc:AlternateContent xmlns:mc="http://schemas.openxmlformats.org/markup-compatibility/2006">
      <mc:Choice Requires="x14">
        <oleObject progId="Equation.DSMT4" shapeId="19487" r:id="rId61">
          <objectPr defaultSize="0" autoPict="0" r:id="rId62">
            <anchor moveWithCells="1">
              <from>
                <xdr:col>2</xdr:col>
                <xdr:colOff>19050</xdr:colOff>
                <xdr:row>502</xdr:row>
                <xdr:rowOff>28575</xdr:rowOff>
              </from>
              <to>
                <xdr:col>4</xdr:col>
                <xdr:colOff>38100</xdr:colOff>
                <xdr:row>505</xdr:row>
                <xdr:rowOff>76200</xdr:rowOff>
              </to>
            </anchor>
          </objectPr>
        </oleObject>
      </mc:Choice>
      <mc:Fallback>
        <oleObject progId="Equation.DSMT4" shapeId="19487" r:id="rId61"/>
      </mc:Fallback>
    </mc:AlternateContent>
    <mc:AlternateContent xmlns:mc="http://schemas.openxmlformats.org/markup-compatibility/2006">
      <mc:Choice Requires="x14">
        <oleObject progId="Equation.DSMT4" shapeId="19488" r:id="rId63">
          <objectPr defaultSize="0" autoPict="0" r:id="rId64">
            <anchor moveWithCells="1">
              <from>
                <xdr:col>2</xdr:col>
                <xdr:colOff>409575</xdr:colOff>
                <xdr:row>515</xdr:row>
                <xdr:rowOff>38100</xdr:rowOff>
              </from>
              <to>
                <xdr:col>4</xdr:col>
                <xdr:colOff>104775</xdr:colOff>
                <xdr:row>517</xdr:row>
                <xdr:rowOff>9525</xdr:rowOff>
              </to>
            </anchor>
          </objectPr>
        </oleObject>
      </mc:Choice>
      <mc:Fallback>
        <oleObject progId="Equation.DSMT4" shapeId="19488" r:id="rId63"/>
      </mc:Fallback>
    </mc:AlternateContent>
    <mc:AlternateContent xmlns:mc="http://schemas.openxmlformats.org/markup-compatibility/2006">
      <mc:Choice Requires="x14">
        <oleObject progId="Equation.DSMT4" shapeId="19489" r:id="rId65">
          <objectPr defaultSize="0" autoPict="0" r:id="rId66">
            <anchor moveWithCells="1">
              <from>
                <xdr:col>2</xdr:col>
                <xdr:colOff>476250</xdr:colOff>
                <xdr:row>708</xdr:row>
                <xdr:rowOff>123825</xdr:rowOff>
              </from>
              <to>
                <xdr:col>4</xdr:col>
                <xdr:colOff>257175</xdr:colOff>
                <xdr:row>711</xdr:row>
                <xdr:rowOff>9525</xdr:rowOff>
              </to>
            </anchor>
          </objectPr>
        </oleObject>
      </mc:Choice>
      <mc:Fallback>
        <oleObject progId="Equation.DSMT4" shapeId="19489" r:id="rId65"/>
      </mc:Fallback>
    </mc:AlternateContent>
    <mc:AlternateContent xmlns:mc="http://schemas.openxmlformats.org/markup-compatibility/2006">
      <mc:Choice Requires="x14">
        <oleObject progId="Equation.DSMT4" shapeId="19490" r:id="rId67">
          <objectPr defaultSize="0" autoPict="0" r:id="rId38">
            <anchor moveWithCells="1">
              <from>
                <xdr:col>3</xdr:col>
                <xdr:colOff>114300</xdr:colOff>
                <xdr:row>724</xdr:row>
                <xdr:rowOff>47625</xdr:rowOff>
              </from>
              <to>
                <xdr:col>5</xdr:col>
                <xdr:colOff>38100</xdr:colOff>
                <xdr:row>727</xdr:row>
                <xdr:rowOff>9525</xdr:rowOff>
              </to>
            </anchor>
          </objectPr>
        </oleObject>
      </mc:Choice>
      <mc:Fallback>
        <oleObject progId="Equation.DSMT4" shapeId="19490" r:id="rId67"/>
      </mc:Fallback>
    </mc:AlternateContent>
    <mc:AlternateContent xmlns:mc="http://schemas.openxmlformats.org/markup-compatibility/2006">
      <mc:Choice Requires="x14">
        <oleObject progId="Equation.DSMT4" shapeId="19491" r:id="rId68">
          <objectPr defaultSize="0" autoPict="0" r:id="rId40">
            <anchor moveWithCells="1">
              <from>
                <xdr:col>1</xdr:col>
                <xdr:colOff>1228725</xdr:colOff>
                <xdr:row>734</xdr:row>
                <xdr:rowOff>85725</xdr:rowOff>
              </from>
              <to>
                <xdr:col>3</xdr:col>
                <xdr:colOff>228600</xdr:colOff>
                <xdr:row>736</xdr:row>
                <xdr:rowOff>123825</xdr:rowOff>
              </to>
            </anchor>
          </objectPr>
        </oleObject>
      </mc:Choice>
      <mc:Fallback>
        <oleObject progId="Equation.DSMT4" shapeId="19491" r:id="rId68"/>
      </mc:Fallback>
    </mc:AlternateContent>
    <mc:AlternateContent xmlns:mc="http://schemas.openxmlformats.org/markup-compatibility/2006">
      <mc:Choice Requires="x14">
        <oleObject progId="Equation.DSMT4" shapeId="19492" r:id="rId69">
          <objectPr defaultSize="0" autoPict="0" r:id="rId70">
            <anchor moveWithCells="1">
              <from>
                <xdr:col>1</xdr:col>
                <xdr:colOff>657225</xdr:colOff>
                <xdr:row>630</xdr:row>
                <xdr:rowOff>47625</xdr:rowOff>
              </from>
              <to>
                <xdr:col>3</xdr:col>
                <xdr:colOff>257175</xdr:colOff>
                <xdr:row>634</xdr:row>
                <xdr:rowOff>0</xdr:rowOff>
              </to>
            </anchor>
          </objectPr>
        </oleObject>
      </mc:Choice>
      <mc:Fallback>
        <oleObject progId="Equation.DSMT4" shapeId="19492" r:id="rId69"/>
      </mc:Fallback>
    </mc:AlternateContent>
    <mc:AlternateContent xmlns:mc="http://schemas.openxmlformats.org/markup-compatibility/2006">
      <mc:Choice Requires="x14">
        <oleObject progId="Equation.DSMT4" shapeId="19493" r:id="rId71">
          <objectPr defaultSize="0" autoPict="0" r:id="rId72">
            <anchor moveWithCells="1">
              <from>
                <xdr:col>2</xdr:col>
                <xdr:colOff>476250</xdr:colOff>
                <xdr:row>645</xdr:row>
                <xdr:rowOff>123825</xdr:rowOff>
              </from>
              <to>
                <xdr:col>4</xdr:col>
                <xdr:colOff>257175</xdr:colOff>
                <xdr:row>648</xdr:row>
                <xdr:rowOff>9525</xdr:rowOff>
              </to>
            </anchor>
          </objectPr>
        </oleObject>
      </mc:Choice>
      <mc:Fallback>
        <oleObject progId="Equation.DSMT4" shapeId="19493" r:id="rId71"/>
      </mc:Fallback>
    </mc:AlternateContent>
    <mc:AlternateContent xmlns:mc="http://schemas.openxmlformats.org/markup-compatibility/2006">
      <mc:Choice Requires="x14">
        <oleObject progId="Equation.DSMT4" shapeId="19494" r:id="rId73">
          <objectPr defaultSize="0" autoPict="0" r:id="rId74">
            <anchor moveWithCells="1">
              <from>
                <xdr:col>1</xdr:col>
                <xdr:colOff>1019175</xdr:colOff>
                <xdr:row>368</xdr:row>
                <xdr:rowOff>95250</xdr:rowOff>
              </from>
              <to>
                <xdr:col>5</xdr:col>
                <xdr:colOff>314325</xdr:colOff>
                <xdr:row>370</xdr:row>
                <xdr:rowOff>38100</xdr:rowOff>
              </to>
            </anchor>
          </objectPr>
        </oleObject>
      </mc:Choice>
      <mc:Fallback>
        <oleObject progId="Equation.DSMT4" shapeId="19494" r:id="rId73"/>
      </mc:Fallback>
    </mc:AlternateContent>
    <mc:AlternateContent xmlns:mc="http://schemas.openxmlformats.org/markup-compatibility/2006">
      <mc:Choice Requires="x14">
        <oleObject progId="Equation.DSMT4" shapeId="19495" r:id="rId75">
          <objectPr defaultSize="0" autoPict="0" r:id="rId14">
            <anchor moveWithCells="1">
              <from>
                <xdr:col>3</xdr:col>
                <xdr:colOff>295275</xdr:colOff>
                <xdr:row>380</xdr:row>
                <xdr:rowOff>104775</xdr:rowOff>
              </from>
              <to>
                <xdr:col>4</xdr:col>
                <xdr:colOff>485775</xdr:colOff>
                <xdr:row>382</xdr:row>
                <xdr:rowOff>38100</xdr:rowOff>
              </to>
            </anchor>
          </objectPr>
        </oleObject>
      </mc:Choice>
      <mc:Fallback>
        <oleObject progId="Equation.DSMT4" shapeId="19495" r:id="rId75"/>
      </mc:Fallback>
    </mc:AlternateContent>
    <mc:AlternateContent xmlns:mc="http://schemas.openxmlformats.org/markup-compatibility/2006">
      <mc:Choice Requires="x14">
        <oleObject progId="Equation.DSMT4" shapeId="19496" r:id="rId76">
          <objectPr defaultSize="0" autoPict="0" r:id="rId77">
            <anchor moveWithCells="1">
              <from>
                <xdr:col>2</xdr:col>
                <xdr:colOff>371475</xdr:colOff>
                <xdr:row>325</xdr:row>
                <xdr:rowOff>9525</xdr:rowOff>
              </from>
              <to>
                <xdr:col>5</xdr:col>
                <xdr:colOff>123825</xdr:colOff>
                <xdr:row>328</xdr:row>
                <xdr:rowOff>38100</xdr:rowOff>
              </to>
            </anchor>
          </objectPr>
        </oleObject>
      </mc:Choice>
      <mc:Fallback>
        <oleObject progId="Equation.DSMT4" shapeId="19496" r:id="rId76"/>
      </mc:Fallback>
    </mc:AlternateContent>
    <mc:AlternateContent xmlns:mc="http://schemas.openxmlformats.org/markup-compatibility/2006">
      <mc:Choice Requires="x14">
        <oleObject progId="Equation.DSMT4" shapeId="19497" r:id="rId78">
          <objectPr defaultSize="0" autoPict="0" r:id="rId79">
            <anchor moveWithCells="1">
              <from>
                <xdr:col>2</xdr:col>
                <xdr:colOff>381000</xdr:colOff>
                <xdr:row>334</xdr:row>
                <xdr:rowOff>19050</xdr:rowOff>
              </from>
              <to>
                <xdr:col>5</xdr:col>
                <xdr:colOff>142875</xdr:colOff>
                <xdr:row>337</xdr:row>
                <xdr:rowOff>57150</xdr:rowOff>
              </to>
            </anchor>
          </objectPr>
        </oleObject>
      </mc:Choice>
      <mc:Fallback>
        <oleObject progId="Equation.DSMT4" shapeId="19497" r:id="rId78"/>
      </mc:Fallback>
    </mc:AlternateContent>
    <mc:AlternateContent xmlns:mc="http://schemas.openxmlformats.org/markup-compatibility/2006">
      <mc:Choice Requires="x14">
        <oleObject progId="Equation.DSMT4" shapeId="19498" r:id="rId80">
          <objectPr defaultSize="0" autoPict="0" r:id="rId81">
            <anchor moveWithCells="1">
              <from>
                <xdr:col>2</xdr:col>
                <xdr:colOff>352425</xdr:colOff>
                <xdr:row>316</xdr:row>
                <xdr:rowOff>9525</xdr:rowOff>
              </from>
              <to>
                <xdr:col>5</xdr:col>
                <xdr:colOff>104775</xdr:colOff>
                <xdr:row>319</xdr:row>
                <xdr:rowOff>38100</xdr:rowOff>
              </to>
            </anchor>
          </objectPr>
        </oleObject>
      </mc:Choice>
      <mc:Fallback>
        <oleObject progId="Equation.DSMT4" shapeId="19498" r:id="rId80"/>
      </mc:Fallback>
    </mc:AlternateContent>
    <mc:AlternateContent xmlns:mc="http://schemas.openxmlformats.org/markup-compatibility/2006">
      <mc:Choice Requires="x14">
        <oleObject progId="Equation.DSMT4" shapeId="19499" r:id="rId82">
          <objectPr defaultSize="0" autoPict="0" r:id="rId6">
            <anchor moveWithCells="1">
              <from>
                <xdr:col>1</xdr:col>
                <xdr:colOff>581025</xdr:colOff>
                <xdr:row>235</xdr:row>
                <xdr:rowOff>152400</xdr:rowOff>
              </from>
              <to>
                <xdr:col>4</xdr:col>
                <xdr:colOff>133350</xdr:colOff>
                <xdr:row>235</xdr:row>
                <xdr:rowOff>419100</xdr:rowOff>
              </to>
            </anchor>
          </objectPr>
        </oleObject>
      </mc:Choice>
      <mc:Fallback>
        <oleObject progId="Equation.DSMT4" shapeId="19499" r:id="rId82"/>
      </mc:Fallback>
    </mc:AlternateContent>
    <mc:AlternateContent xmlns:mc="http://schemas.openxmlformats.org/markup-compatibility/2006">
      <mc:Choice Requires="x14">
        <oleObject progId="Equation.DSMT4" shapeId="19500" r:id="rId83">
          <objectPr defaultSize="0" r:id="rId84">
            <anchor moveWithCells="1">
              <from>
                <xdr:col>2</xdr:col>
                <xdr:colOff>133350</xdr:colOff>
                <xdr:row>238</xdr:row>
                <xdr:rowOff>28575</xdr:rowOff>
              </from>
              <to>
                <xdr:col>4</xdr:col>
                <xdr:colOff>209550</xdr:colOff>
                <xdr:row>239</xdr:row>
                <xdr:rowOff>333375</xdr:rowOff>
              </to>
            </anchor>
          </objectPr>
        </oleObject>
      </mc:Choice>
      <mc:Fallback>
        <oleObject progId="Equation.DSMT4" shapeId="19500" r:id="rId83"/>
      </mc:Fallback>
    </mc:AlternateContent>
    <mc:AlternateContent xmlns:mc="http://schemas.openxmlformats.org/markup-compatibility/2006">
      <mc:Choice Requires="x14">
        <oleObject progId="Equation.DSMT4" shapeId="19501" r:id="rId85">
          <objectPr defaultSize="0" autoPict="0" r:id="rId86">
            <anchor moveWithCells="1">
              <from>
                <xdr:col>2</xdr:col>
                <xdr:colOff>228600</xdr:colOff>
                <xdr:row>239</xdr:row>
                <xdr:rowOff>38100</xdr:rowOff>
              </from>
              <to>
                <xdr:col>3</xdr:col>
                <xdr:colOff>438150</xdr:colOff>
                <xdr:row>239</xdr:row>
                <xdr:rowOff>438150</xdr:rowOff>
              </to>
            </anchor>
          </objectPr>
        </oleObject>
      </mc:Choice>
      <mc:Fallback>
        <oleObject progId="Equation.DSMT4" shapeId="19501" r:id="rId85"/>
      </mc:Fallback>
    </mc:AlternateContent>
    <mc:AlternateContent xmlns:mc="http://schemas.openxmlformats.org/markup-compatibility/2006">
      <mc:Choice Requires="x14">
        <oleObject progId="Equation.DSMT4" shapeId="19502" r:id="rId87">
          <objectPr defaultSize="0" autoPict="0" r:id="rId88">
            <anchor moveWithCells="1">
              <from>
                <xdr:col>3</xdr:col>
                <xdr:colOff>323850</xdr:colOff>
                <xdr:row>276</xdr:row>
                <xdr:rowOff>47625</xdr:rowOff>
              </from>
              <to>
                <xdr:col>5</xdr:col>
                <xdr:colOff>66675</xdr:colOff>
                <xdr:row>278</xdr:row>
                <xdr:rowOff>142875</xdr:rowOff>
              </to>
            </anchor>
          </objectPr>
        </oleObject>
      </mc:Choice>
      <mc:Fallback>
        <oleObject progId="Equation.DSMT4" shapeId="19502" r:id="rId87"/>
      </mc:Fallback>
    </mc:AlternateContent>
    <mc:AlternateContent xmlns:mc="http://schemas.openxmlformats.org/markup-compatibility/2006">
      <mc:Choice Requires="x14">
        <oleObject progId="Equation.DSMT4" shapeId="19503" r:id="rId89">
          <objectPr defaultSize="0" autoPict="0" r:id="rId90">
            <anchor moveWithCells="1">
              <from>
                <xdr:col>2</xdr:col>
                <xdr:colOff>171450</xdr:colOff>
                <xdr:row>376</xdr:row>
                <xdr:rowOff>142875</xdr:rowOff>
              </from>
              <to>
                <xdr:col>4</xdr:col>
                <xdr:colOff>438150</xdr:colOff>
                <xdr:row>380</xdr:row>
                <xdr:rowOff>38100</xdr:rowOff>
              </to>
            </anchor>
          </objectPr>
        </oleObject>
      </mc:Choice>
      <mc:Fallback>
        <oleObject progId="Equation.DSMT4" shapeId="19503" r:id="rId89"/>
      </mc:Fallback>
    </mc:AlternateContent>
    <mc:AlternateContent xmlns:mc="http://schemas.openxmlformats.org/markup-compatibility/2006">
      <mc:Choice Requires="x14">
        <oleObject progId="Equation.DSMT4" shapeId="19504" r:id="rId91">
          <objectPr defaultSize="0" autoPict="0" r:id="rId92">
            <anchor moveWithCells="1">
              <from>
                <xdr:col>1</xdr:col>
                <xdr:colOff>638175</xdr:colOff>
                <xdr:row>569</xdr:row>
                <xdr:rowOff>19050</xdr:rowOff>
              </from>
              <to>
                <xdr:col>4</xdr:col>
                <xdr:colOff>504825</xdr:colOff>
                <xdr:row>572</xdr:row>
                <xdr:rowOff>57150</xdr:rowOff>
              </to>
            </anchor>
          </objectPr>
        </oleObject>
      </mc:Choice>
      <mc:Fallback>
        <oleObject progId="Equation.DSMT4" shapeId="19504" r:id="rId91"/>
      </mc:Fallback>
    </mc:AlternateContent>
    <mc:AlternateContent xmlns:mc="http://schemas.openxmlformats.org/markup-compatibility/2006">
      <mc:Choice Requires="x14">
        <oleObject progId="Equation.DSMT4" shapeId="19505" r:id="rId93">
          <objectPr defaultSize="0" autoPict="0" r:id="rId94">
            <anchor moveWithCells="1">
              <from>
                <xdr:col>1</xdr:col>
                <xdr:colOff>1000125</xdr:colOff>
                <xdr:row>566</xdr:row>
                <xdr:rowOff>123825</xdr:rowOff>
              </from>
              <to>
                <xdr:col>5</xdr:col>
                <xdr:colOff>19050</xdr:colOff>
                <xdr:row>569</xdr:row>
                <xdr:rowOff>47625</xdr:rowOff>
              </to>
            </anchor>
          </objectPr>
        </oleObject>
      </mc:Choice>
      <mc:Fallback>
        <oleObject progId="Equation.DSMT4" shapeId="19505" r:id="rId93"/>
      </mc:Fallback>
    </mc:AlternateContent>
    <mc:AlternateContent xmlns:mc="http://schemas.openxmlformats.org/markup-compatibility/2006">
      <mc:Choice Requires="x14">
        <oleObject progId="Equation.DSMT4" shapeId="19506" r:id="rId95">
          <objectPr defaultSize="0" autoPict="0" r:id="rId96">
            <anchor moveWithCells="1">
              <from>
                <xdr:col>1</xdr:col>
                <xdr:colOff>962025</xdr:colOff>
                <xdr:row>639</xdr:row>
                <xdr:rowOff>28575</xdr:rowOff>
              </from>
              <to>
                <xdr:col>5</xdr:col>
                <xdr:colOff>266700</xdr:colOff>
                <xdr:row>642</xdr:row>
                <xdr:rowOff>66675</xdr:rowOff>
              </to>
            </anchor>
          </objectPr>
        </oleObject>
      </mc:Choice>
      <mc:Fallback>
        <oleObject progId="Equation.DSMT4" shapeId="19506" r:id="rId95"/>
      </mc:Fallback>
    </mc:AlternateContent>
    <mc:AlternateContent xmlns:mc="http://schemas.openxmlformats.org/markup-compatibility/2006">
      <mc:Choice Requires="x14">
        <oleObject progId="Equation.DSMT4" shapeId="19507" r:id="rId97">
          <objectPr defaultSize="0" autoPict="0" r:id="rId98">
            <anchor moveWithCells="1">
              <from>
                <xdr:col>1</xdr:col>
                <xdr:colOff>981075</xdr:colOff>
                <xdr:row>636</xdr:row>
                <xdr:rowOff>123825</xdr:rowOff>
              </from>
              <to>
                <xdr:col>5</xdr:col>
                <xdr:colOff>0</xdr:colOff>
                <xdr:row>639</xdr:row>
                <xdr:rowOff>47625</xdr:rowOff>
              </to>
            </anchor>
          </objectPr>
        </oleObject>
      </mc:Choice>
      <mc:Fallback>
        <oleObject progId="Equation.DSMT4" shapeId="19507" r:id="rId97"/>
      </mc:Fallback>
    </mc:AlternateContent>
    <mc:AlternateContent xmlns:mc="http://schemas.openxmlformats.org/markup-compatibility/2006">
      <mc:Choice Requires="x14">
        <oleObject progId="Equation.DSMT4" shapeId="19508" r:id="rId99">
          <objectPr defaultSize="0" autoPict="0" r:id="rId100">
            <anchor moveWithCells="1" sizeWithCells="1">
              <from>
                <xdr:col>2</xdr:col>
                <xdr:colOff>200025</xdr:colOff>
                <xdr:row>609</xdr:row>
                <xdr:rowOff>152400</xdr:rowOff>
              </from>
              <to>
                <xdr:col>5</xdr:col>
                <xdr:colOff>19050</xdr:colOff>
                <xdr:row>613</xdr:row>
                <xdr:rowOff>9525</xdr:rowOff>
              </to>
            </anchor>
          </objectPr>
        </oleObject>
      </mc:Choice>
      <mc:Fallback>
        <oleObject progId="Equation.DSMT4" shapeId="19508" r:id="rId99"/>
      </mc:Fallback>
    </mc:AlternateContent>
    <mc:AlternateContent xmlns:mc="http://schemas.openxmlformats.org/markup-compatibility/2006">
      <mc:Choice Requires="x14">
        <oleObject progId="Equation.DSMT4" shapeId="19509" r:id="rId101">
          <objectPr defaultSize="0" autoPict="0" r:id="rId102">
            <anchor moveWithCells="1" sizeWithCells="1">
              <from>
                <xdr:col>2</xdr:col>
                <xdr:colOff>295275</xdr:colOff>
                <xdr:row>616</xdr:row>
                <xdr:rowOff>28575</xdr:rowOff>
              </from>
              <to>
                <xdr:col>5</xdr:col>
                <xdr:colOff>9525</xdr:colOff>
                <xdr:row>619</xdr:row>
                <xdr:rowOff>85725</xdr:rowOff>
              </to>
            </anchor>
          </objectPr>
        </oleObject>
      </mc:Choice>
      <mc:Fallback>
        <oleObject progId="Equation.DSMT4" shapeId="19509" r:id="rId101"/>
      </mc:Fallback>
    </mc:AlternateContent>
    <mc:AlternateContent xmlns:mc="http://schemas.openxmlformats.org/markup-compatibility/2006">
      <mc:Choice Requires="x14">
        <oleObject progId="Equation.DSMT4" shapeId="19510" r:id="rId103">
          <objectPr defaultSize="0" autoPict="0" r:id="rId58">
            <anchor moveWithCells="1" sizeWithCells="1">
              <from>
                <xdr:col>3</xdr:col>
                <xdr:colOff>457200</xdr:colOff>
                <xdr:row>621</xdr:row>
                <xdr:rowOff>0</xdr:rowOff>
              </from>
              <to>
                <xdr:col>5</xdr:col>
                <xdr:colOff>28575</xdr:colOff>
                <xdr:row>624</xdr:row>
                <xdr:rowOff>19050</xdr:rowOff>
              </to>
            </anchor>
          </objectPr>
        </oleObject>
      </mc:Choice>
      <mc:Fallback>
        <oleObject progId="Equation.DSMT4" shapeId="19510" r:id="rId103"/>
      </mc:Fallback>
    </mc:AlternateContent>
    <mc:AlternateContent xmlns:mc="http://schemas.openxmlformats.org/markup-compatibility/2006">
      <mc:Choice Requires="x14">
        <oleObject progId="Equation.DSMT4" shapeId="19511" r:id="rId104">
          <objectPr defaultSize="0" autoPict="0" r:id="rId60">
            <anchor moveWithCells="1" sizeWithCells="1">
              <from>
                <xdr:col>3</xdr:col>
                <xdr:colOff>47625</xdr:colOff>
                <xdr:row>624</xdr:row>
                <xdr:rowOff>38100</xdr:rowOff>
              </from>
              <to>
                <xdr:col>5</xdr:col>
                <xdr:colOff>66675</xdr:colOff>
                <xdr:row>627</xdr:row>
                <xdr:rowOff>0</xdr:rowOff>
              </to>
            </anchor>
          </objectPr>
        </oleObject>
      </mc:Choice>
      <mc:Fallback>
        <oleObject progId="Equation.DSMT4" shapeId="19511" r:id="rId104"/>
      </mc:Fallback>
    </mc:AlternateContent>
    <mc:AlternateContent xmlns:mc="http://schemas.openxmlformats.org/markup-compatibility/2006">
      <mc:Choice Requires="x14">
        <oleObject progId="Equation.DSMT4" shapeId="19512" r:id="rId105">
          <objectPr defaultSize="0" autoPict="0" r:id="rId24">
            <anchor moveWithCells="1" sizeWithCells="1">
              <from>
                <xdr:col>1</xdr:col>
                <xdr:colOff>781050</xdr:colOff>
                <xdr:row>673</xdr:row>
                <xdr:rowOff>57150</xdr:rowOff>
              </from>
              <to>
                <xdr:col>3</xdr:col>
                <xdr:colOff>333375</xdr:colOff>
                <xdr:row>676</xdr:row>
                <xdr:rowOff>76200</xdr:rowOff>
              </to>
            </anchor>
          </objectPr>
        </oleObject>
      </mc:Choice>
      <mc:Fallback>
        <oleObject progId="Equation.DSMT4" shapeId="19512" r:id="rId105"/>
      </mc:Fallback>
    </mc:AlternateContent>
    <mc:AlternateContent xmlns:mc="http://schemas.openxmlformats.org/markup-compatibility/2006">
      <mc:Choice Requires="x14">
        <oleObject progId="Equation.DSMT4" shapeId="19513" r:id="rId106">
          <objectPr defaultSize="0" autoPict="0" r:id="rId26">
            <anchor moveWithCells="1" sizeWithCells="1">
              <from>
                <xdr:col>1</xdr:col>
                <xdr:colOff>800100</xdr:colOff>
                <xdr:row>678</xdr:row>
                <xdr:rowOff>104775</xdr:rowOff>
              </from>
              <to>
                <xdr:col>3</xdr:col>
                <xdr:colOff>247650</xdr:colOff>
                <xdr:row>682</xdr:row>
                <xdr:rowOff>0</xdr:rowOff>
              </to>
            </anchor>
          </objectPr>
        </oleObject>
      </mc:Choice>
      <mc:Fallback>
        <oleObject progId="Equation.DSMT4" shapeId="19513" r:id="rId106"/>
      </mc:Fallback>
    </mc:AlternateContent>
    <mc:AlternateContent xmlns:mc="http://schemas.openxmlformats.org/markup-compatibility/2006">
      <mc:Choice Requires="x14">
        <oleObject progId="Equation.DSMT4" shapeId="19514" r:id="rId107">
          <objectPr defaultSize="0" autoPict="0" r:id="rId28">
            <anchor moveWithCells="1" sizeWithCells="1">
              <from>
                <xdr:col>2</xdr:col>
                <xdr:colOff>390525</xdr:colOff>
                <xdr:row>684</xdr:row>
                <xdr:rowOff>57150</xdr:rowOff>
              </from>
              <to>
                <xdr:col>3</xdr:col>
                <xdr:colOff>438150</xdr:colOff>
                <xdr:row>687</xdr:row>
                <xdr:rowOff>95250</xdr:rowOff>
              </to>
            </anchor>
          </objectPr>
        </oleObject>
      </mc:Choice>
      <mc:Fallback>
        <oleObject progId="Equation.DSMT4" shapeId="19514" r:id="rId107"/>
      </mc:Fallback>
    </mc:AlternateContent>
    <mc:AlternateContent xmlns:mc="http://schemas.openxmlformats.org/markup-compatibility/2006">
      <mc:Choice Requires="x14">
        <oleObject progId="Equation.DSMT4" shapeId="19515" r:id="rId108">
          <objectPr defaultSize="0" autoPict="0" r:id="rId109">
            <anchor moveWithCells="1" sizeWithCells="1">
              <from>
                <xdr:col>2</xdr:col>
                <xdr:colOff>95250</xdr:colOff>
                <xdr:row>688</xdr:row>
                <xdr:rowOff>9525</xdr:rowOff>
              </from>
              <to>
                <xdr:col>4</xdr:col>
                <xdr:colOff>171450</xdr:colOff>
                <xdr:row>691</xdr:row>
                <xdr:rowOff>85725</xdr:rowOff>
              </to>
            </anchor>
          </objectPr>
        </oleObject>
      </mc:Choice>
      <mc:Fallback>
        <oleObject progId="Equation.DSMT4" shapeId="19515" r:id="rId108"/>
      </mc:Fallback>
    </mc:AlternateContent>
    <mc:AlternateContent xmlns:mc="http://schemas.openxmlformats.org/markup-compatibility/2006">
      <mc:Choice Requires="x14">
        <oleObject progId="Equation.DSMT4" shapeId="19516" r:id="rId110">
          <objectPr defaultSize="0" autoPict="0" r:id="rId32">
            <anchor moveWithCells="1" sizeWithCells="1">
              <from>
                <xdr:col>1</xdr:col>
                <xdr:colOff>895350</xdr:colOff>
                <xdr:row>695</xdr:row>
                <xdr:rowOff>28575</xdr:rowOff>
              </from>
              <to>
                <xdr:col>3</xdr:col>
                <xdr:colOff>238125</xdr:colOff>
                <xdr:row>698</xdr:row>
                <xdr:rowOff>133350</xdr:rowOff>
              </to>
            </anchor>
          </objectPr>
        </oleObject>
      </mc:Choice>
      <mc:Fallback>
        <oleObject progId="Equation.DSMT4" shapeId="19516" r:id="rId110"/>
      </mc:Fallback>
    </mc:AlternateContent>
    <mc:AlternateContent xmlns:mc="http://schemas.openxmlformats.org/markup-compatibility/2006">
      <mc:Choice Requires="x14">
        <oleObject progId="Equation.DSMT4" shapeId="19517" r:id="rId111">
          <objectPr defaultSize="0" autoPict="0" r:id="rId36">
            <anchor moveWithCells="1" sizeWithCells="1">
              <from>
                <xdr:col>2</xdr:col>
                <xdr:colOff>28575</xdr:colOff>
                <xdr:row>717</xdr:row>
                <xdr:rowOff>123825</xdr:rowOff>
              </from>
              <to>
                <xdr:col>4</xdr:col>
                <xdr:colOff>438150</xdr:colOff>
                <xdr:row>721</xdr:row>
                <xdr:rowOff>66675</xdr:rowOff>
              </to>
            </anchor>
          </objectPr>
        </oleObject>
      </mc:Choice>
      <mc:Fallback>
        <oleObject progId="Equation.DSMT4" shapeId="19517" r:id="rId111"/>
      </mc:Fallback>
    </mc:AlternateContent>
    <mc:AlternateContent xmlns:mc="http://schemas.openxmlformats.org/markup-compatibility/2006">
      <mc:Choice Requires="x14">
        <oleObject progId="Equation.DSMT4" shapeId="19518" r:id="rId112">
          <objectPr defaultSize="0" autoPict="0" r:id="rId113">
            <anchor moveWithCells="1" sizeWithCells="1">
              <from>
                <xdr:col>3</xdr:col>
                <xdr:colOff>9525</xdr:colOff>
                <xdr:row>387</xdr:row>
                <xdr:rowOff>28575</xdr:rowOff>
              </from>
              <to>
                <xdr:col>5</xdr:col>
                <xdr:colOff>47625</xdr:colOff>
                <xdr:row>390</xdr:row>
                <xdr:rowOff>0</xdr:rowOff>
              </to>
            </anchor>
          </objectPr>
        </oleObject>
      </mc:Choice>
      <mc:Fallback>
        <oleObject progId="Equation.DSMT4" shapeId="19518" r:id="rId112"/>
      </mc:Fallback>
    </mc:AlternateContent>
    <mc:AlternateContent xmlns:mc="http://schemas.openxmlformats.org/markup-compatibility/2006">
      <mc:Choice Requires="x14">
        <oleObject progId="Equation.DSMT4" shapeId="19519" r:id="rId114">
          <objectPr defaultSize="0" autoPict="0" r:id="rId18">
            <anchor moveWithCells="1" sizeWithCells="1">
              <from>
                <xdr:col>2</xdr:col>
                <xdr:colOff>523875</xdr:colOff>
                <xdr:row>913</xdr:row>
                <xdr:rowOff>28575</xdr:rowOff>
              </from>
              <to>
                <xdr:col>4</xdr:col>
                <xdr:colOff>457200</xdr:colOff>
                <xdr:row>916</xdr:row>
                <xdr:rowOff>19050</xdr:rowOff>
              </to>
            </anchor>
          </objectPr>
        </oleObject>
      </mc:Choice>
      <mc:Fallback>
        <oleObject progId="Equation.DSMT4" shapeId="19519" r:id="rId114"/>
      </mc:Fallback>
    </mc:AlternateContent>
    <mc:AlternateContent xmlns:mc="http://schemas.openxmlformats.org/markup-compatibility/2006">
      <mc:Choice Requires="x14">
        <oleObject progId="Equation.DSMT4" shapeId="19520" r:id="rId115">
          <objectPr defaultSize="0" autoPict="0" r:id="rId116">
            <anchor moveWithCells="1" sizeWithCells="1">
              <from>
                <xdr:col>2</xdr:col>
                <xdr:colOff>600075</xdr:colOff>
                <xdr:row>989</xdr:row>
                <xdr:rowOff>19050</xdr:rowOff>
              </from>
              <to>
                <xdr:col>5</xdr:col>
                <xdr:colOff>19050</xdr:colOff>
                <xdr:row>992</xdr:row>
                <xdr:rowOff>47625</xdr:rowOff>
              </to>
            </anchor>
          </objectPr>
        </oleObject>
      </mc:Choice>
      <mc:Fallback>
        <oleObject progId="Equation.DSMT4" shapeId="19520" r:id="rId115"/>
      </mc:Fallback>
    </mc:AlternateContent>
    <mc:AlternateContent xmlns:mc="http://schemas.openxmlformats.org/markup-compatibility/2006">
      <mc:Choice Requires="x14">
        <oleObject progId="Equation.DSMT4" shapeId="19521" r:id="rId117">
          <objectPr defaultSize="0" r:id="rId84">
            <anchor moveWithCells="1">
              <from>
                <xdr:col>2</xdr:col>
                <xdr:colOff>142875</xdr:colOff>
                <xdr:row>242</xdr:row>
                <xdr:rowOff>28575</xdr:rowOff>
              </from>
              <to>
                <xdr:col>4</xdr:col>
                <xdr:colOff>219075</xdr:colOff>
                <xdr:row>243</xdr:row>
                <xdr:rowOff>333375</xdr:rowOff>
              </to>
            </anchor>
          </objectPr>
        </oleObject>
      </mc:Choice>
      <mc:Fallback>
        <oleObject progId="Equation.DSMT4" shapeId="19521" r:id="rId117"/>
      </mc:Fallback>
    </mc:AlternateContent>
    <mc:AlternateContent xmlns:mc="http://schemas.openxmlformats.org/markup-compatibility/2006">
      <mc:Choice Requires="x14">
        <oleObject progId="Equation.DSMT4" shapeId="19522" r:id="rId118">
          <objectPr defaultSize="0" autoPict="0" r:id="rId86">
            <anchor moveWithCells="1">
              <from>
                <xdr:col>2</xdr:col>
                <xdr:colOff>238125</xdr:colOff>
                <xdr:row>243</xdr:row>
                <xdr:rowOff>38100</xdr:rowOff>
              </from>
              <to>
                <xdr:col>3</xdr:col>
                <xdr:colOff>447675</xdr:colOff>
                <xdr:row>243</xdr:row>
                <xdr:rowOff>438150</xdr:rowOff>
              </to>
            </anchor>
          </objectPr>
        </oleObject>
      </mc:Choice>
      <mc:Fallback>
        <oleObject progId="Equation.DSMT4" shapeId="19522" r:id="rId118"/>
      </mc:Fallback>
    </mc:AlternateContent>
    <mc:AlternateContent xmlns:mc="http://schemas.openxmlformats.org/markup-compatibility/2006">
      <mc:Choice Requires="x14">
        <oleObject progId="Equation.DSMT4" shapeId="19523" r:id="rId119">
          <objectPr defaultSize="0" autoPict="0" r:id="rId74">
            <anchor moveWithCells="1">
              <from>
                <xdr:col>1</xdr:col>
                <xdr:colOff>1019175</xdr:colOff>
                <xdr:row>445</xdr:row>
                <xdr:rowOff>95250</xdr:rowOff>
              </from>
              <to>
                <xdr:col>5</xdr:col>
                <xdr:colOff>314325</xdr:colOff>
                <xdr:row>447</xdr:row>
                <xdr:rowOff>38100</xdr:rowOff>
              </to>
            </anchor>
          </objectPr>
        </oleObject>
      </mc:Choice>
      <mc:Fallback>
        <oleObject progId="Equation.DSMT4" shapeId="19523" r:id="rId119"/>
      </mc:Fallback>
    </mc:AlternateContent>
    <mc:AlternateContent xmlns:mc="http://schemas.openxmlformats.org/markup-compatibility/2006">
      <mc:Choice Requires="x14">
        <oleObject progId="Equation.DSMT4" shapeId="19524" r:id="rId120">
          <objectPr defaultSize="0" autoPict="0" r:id="rId14">
            <anchor moveWithCells="1">
              <from>
                <xdr:col>3</xdr:col>
                <xdr:colOff>295275</xdr:colOff>
                <xdr:row>457</xdr:row>
                <xdr:rowOff>104775</xdr:rowOff>
              </from>
              <to>
                <xdr:col>4</xdr:col>
                <xdr:colOff>485775</xdr:colOff>
                <xdr:row>459</xdr:row>
                <xdr:rowOff>38100</xdr:rowOff>
              </to>
            </anchor>
          </objectPr>
        </oleObject>
      </mc:Choice>
      <mc:Fallback>
        <oleObject progId="Equation.DSMT4" shapeId="19524" r:id="rId120"/>
      </mc:Fallback>
    </mc:AlternateContent>
    <mc:AlternateContent xmlns:mc="http://schemas.openxmlformats.org/markup-compatibility/2006">
      <mc:Choice Requires="x14">
        <oleObject progId="Equation.DSMT4" shapeId="19525" r:id="rId121">
          <objectPr defaultSize="0" autoPict="0" r:id="rId77">
            <anchor moveWithCells="1">
              <from>
                <xdr:col>2</xdr:col>
                <xdr:colOff>371475</xdr:colOff>
                <xdr:row>404</xdr:row>
                <xdr:rowOff>9525</xdr:rowOff>
              </from>
              <to>
                <xdr:col>5</xdr:col>
                <xdr:colOff>123825</xdr:colOff>
                <xdr:row>407</xdr:row>
                <xdr:rowOff>38100</xdr:rowOff>
              </to>
            </anchor>
          </objectPr>
        </oleObject>
      </mc:Choice>
      <mc:Fallback>
        <oleObject progId="Equation.DSMT4" shapeId="19525" r:id="rId121"/>
      </mc:Fallback>
    </mc:AlternateContent>
    <mc:AlternateContent xmlns:mc="http://schemas.openxmlformats.org/markup-compatibility/2006">
      <mc:Choice Requires="x14">
        <oleObject progId="Equation.DSMT4" shapeId="19526" r:id="rId122">
          <objectPr defaultSize="0" autoPict="0" r:id="rId79">
            <anchor moveWithCells="1">
              <from>
                <xdr:col>2</xdr:col>
                <xdr:colOff>381000</xdr:colOff>
                <xdr:row>412</xdr:row>
                <xdr:rowOff>19050</xdr:rowOff>
              </from>
              <to>
                <xdr:col>5</xdr:col>
                <xdr:colOff>142875</xdr:colOff>
                <xdr:row>415</xdr:row>
                <xdr:rowOff>57150</xdr:rowOff>
              </to>
            </anchor>
          </objectPr>
        </oleObject>
      </mc:Choice>
      <mc:Fallback>
        <oleObject progId="Equation.DSMT4" shapeId="19526" r:id="rId122"/>
      </mc:Fallback>
    </mc:AlternateContent>
    <mc:AlternateContent xmlns:mc="http://schemas.openxmlformats.org/markup-compatibility/2006">
      <mc:Choice Requires="x14">
        <oleObject progId="Equation.DSMT4" shapeId="19527" r:id="rId123">
          <objectPr defaultSize="0" autoPict="0" r:id="rId81">
            <anchor moveWithCells="1">
              <from>
                <xdr:col>2</xdr:col>
                <xdr:colOff>352425</xdr:colOff>
                <xdr:row>395</xdr:row>
                <xdr:rowOff>9525</xdr:rowOff>
              </from>
              <to>
                <xdr:col>5</xdr:col>
                <xdr:colOff>104775</xdr:colOff>
                <xdr:row>398</xdr:row>
                <xdr:rowOff>38100</xdr:rowOff>
              </to>
            </anchor>
          </objectPr>
        </oleObject>
      </mc:Choice>
      <mc:Fallback>
        <oleObject progId="Equation.DSMT4" shapeId="19527" r:id="rId123"/>
      </mc:Fallback>
    </mc:AlternateContent>
    <mc:AlternateContent xmlns:mc="http://schemas.openxmlformats.org/markup-compatibility/2006">
      <mc:Choice Requires="x14">
        <oleObject progId="Equation.DSMT4" shapeId="19528" r:id="rId124">
          <objectPr defaultSize="0" autoPict="0" r:id="rId90">
            <anchor moveWithCells="1">
              <from>
                <xdr:col>2</xdr:col>
                <xdr:colOff>171450</xdr:colOff>
                <xdr:row>453</xdr:row>
                <xdr:rowOff>142875</xdr:rowOff>
              </from>
              <to>
                <xdr:col>4</xdr:col>
                <xdr:colOff>438150</xdr:colOff>
                <xdr:row>457</xdr:row>
                <xdr:rowOff>38100</xdr:rowOff>
              </to>
            </anchor>
          </objectPr>
        </oleObject>
      </mc:Choice>
      <mc:Fallback>
        <oleObject progId="Equation.DSMT4" shapeId="19528" r:id="rId124"/>
      </mc:Fallback>
    </mc:AlternateContent>
    <mc:AlternateContent xmlns:mc="http://schemas.openxmlformats.org/markup-compatibility/2006">
      <mc:Choice Requires="x14">
        <oleObject progId="Equation.DSMT4" shapeId="19529" r:id="rId125">
          <objectPr defaultSize="0" autoPict="0" r:id="rId113">
            <anchor moveWithCells="1" sizeWithCells="1">
              <from>
                <xdr:col>3</xdr:col>
                <xdr:colOff>9525</xdr:colOff>
                <xdr:row>465</xdr:row>
                <xdr:rowOff>28575</xdr:rowOff>
              </from>
              <to>
                <xdr:col>5</xdr:col>
                <xdr:colOff>47625</xdr:colOff>
                <xdr:row>468</xdr:row>
                <xdr:rowOff>0</xdr:rowOff>
              </to>
            </anchor>
          </objectPr>
        </oleObject>
      </mc:Choice>
      <mc:Fallback>
        <oleObject progId="Equation.DSMT4" shapeId="19529" r:id="rId125"/>
      </mc:Fallback>
    </mc:AlternateContent>
    <mc:AlternateContent xmlns:mc="http://schemas.openxmlformats.org/markup-compatibility/2006">
      <mc:Choice Requires="x14">
        <oleObject progId="Equation.DSMT4" shapeId="19530" r:id="rId126">
          <objectPr defaultSize="0" autoPict="0" r:id="rId92">
            <anchor moveWithCells="1">
              <from>
                <xdr:col>1</xdr:col>
                <xdr:colOff>666750</xdr:colOff>
                <xdr:row>705</xdr:row>
                <xdr:rowOff>57150</xdr:rowOff>
              </from>
              <to>
                <xdr:col>4</xdr:col>
                <xdr:colOff>533400</xdr:colOff>
                <xdr:row>708</xdr:row>
                <xdr:rowOff>95250</xdr:rowOff>
              </to>
            </anchor>
          </objectPr>
        </oleObject>
      </mc:Choice>
      <mc:Fallback>
        <oleObject progId="Equation.DSMT4" shapeId="19530" r:id="rId126"/>
      </mc:Fallback>
    </mc:AlternateContent>
    <mc:AlternateContent xmlns:mc="http://schemas.openxmlformats.org/markup-compatibility/2006">
      <mc:Choice Requires="x14">
        <oleObject progId="Equation.DSMT4" shapeId="19531" r:id="rId127">
          <objectPr defaultSize="0" autoPict="0" r:id="rId94">
            <anchor moveWithCells="1">
              <from>
                <xdr:col>1</xdr:col>
                <xdr:colOff>1009650</xdr:colOff>
                <xdr:row>702</xdr:row>
                <xdr:rowOff>142875</xdr:rowOff>
              </from>
              <to>
                <xdr:col>5</xdr:col>
                <xdr:colOff>38100</xdr:colOff>
                <xdr:row>705</xdr:row>
                <xdr:rowOff>66675</xdr:rowOff>
              </to>
            </anchor>
          </objectPr>
        </oleObject>
      </mc:Choice>
      <mc:Fallback>
        <oleObject progId="Equation.DSMT4" shapeId="19531" r:id="rId127"/>
      </mc:Fallback>
    </mc:AlternateContent>
    <mc:AlternateContent xmlns:mc="http://schemas.openxmlformats.org/markup-compatibility/2006">
      <mc:Choice Requires="x14">
        <oleObject progId="Equation.DSMT4" shapeId="19532" r:id="rId128">
          <objectPr defaultSize="0" autoPict="0" r:id="rId66">
            <anchor moveWithCells="1">
              <from>
                <xdr:col>2</xdr:col>
                <xdr:colOff>476250</xdr:colOff>
                <xdr:row>836</xdr:row>
                <xdr:rowOff>123825</xdr:rowOff>
              </from>
              <to>
                <xdr:col>4</xdr:col>
                <xdr:colOff>257175</xdr:colOff>
                <xdr:row>839</xdr:row>
                <xdr:rowOff>9525</xdr:rowOff>
              </to>
            </anchor>
          </objectPr>
        </oleObject>
      </mc:Choice>
      <mc:Fallback>
        <oleObject progId="Equation.DSMT4" shapeId="19532" r:id="rId128"/>
      </mc:Fallback>
    </mc:AlternateContent>
    <mc:AlternateContent xmlns:mc="http://schemas.openxmlformats.org/markup-compatibility/2006">
      <mc:Choice Requires="x14">
        <oleObject progId="Equation.DSMT4" shapeId="19533" r:id="rId129">
          <objectPr defaultSize="0" autoPict="0" r:id="rId38">
            <anchor moveWithCells="1">
              <from>
                <xdr:col>3</xdr:col>
                <xdr:colOff>219075</xdr:colOff>
                <xdr:row>851</xdr:row>
                <xdr:rowOff>38100</xdr:rowOff>
              </from>
              <to>
                <xdr:col>5</xdr:col>
                <xdr:colOff>38100</xdr:colOff>
                <xdr:row>854</xdr:row>
                <xdr:rowOff>0</xdr:rowOff>
              </to>
            </anchor>
          </objectPr>
        </oleObject>
      </mc:Choice>
      <mc:Fallback>
        <oleObject progId="Equation.DSMT4" shapeId="19533" r:id="rId129"/>
      </mc:Fallback>
    </mc:AlternateContent>
    <mc:AlternateContent xmlns:mc="http://schemas.openxmlformats.org/markup-compatibility/2006">
      <mc:Choice Requires="x14">
        <oleObject progId="Equation.DSMT4" shapeId="19534" r:id="rId130">
          <objectPr defaultSize="0" autoPict="0" r:id="rId40">
            <anchor moveWithCells="1">
              <from>
                <xdr:col>1</xdr:col>
                <xdr:colOff>1228725</xdr:colOff>
                <xdr:row>856</xdr:row>
                <xdr:rowOff>85725</xdr:rowOff>
              </from>
              <to>
                <xdr:col>3</xdr:col>
                <xdr:colOff>228600</xdr:colOff>
                <xdr:row>858</xdr:row>
                <xdr:rowOff>123825</xdr:rowOff>
              </to>
            </anchor>
          </objectPr>
        </oleObject>
      </mc:Choice>
      <mc:Fallback>
        <oleObject progId="Equation.DSMT4" shapeId="19534" r:id="rId130"/>
      </mc:Fallback>
    </mc:AlternateContent>
    <mc:AlternateContent xmlns:mc="http://schemas.openxmlformats.org/markup-compatibility/2006">
      <mc:Choice Requires="x14">
        <oleObject progId="Equation.DSMT4" shapeId="19535" r:id="rId131">
          <objectPr defaultSize="0" autoPict="0" r:id="rId70">
            <anchor moveWithCells="1">
              <from>
                <xdr:col>1</xdr:col>
                <xdr:colOff>657225</xdr:colOff>
                <xdr:row>769</xdr:row>
                <xdr:rowOff>47625</xdr:rowOff>
              </from>
              <to>
                <xdr:col>3</xdr:col>
                <xdr:colOff>257175</xdr:colOff>
                <xdr:row>773</xdr:row>
                <xdr:rowOff>0</xdr:rowOff>
              </to>
            </anchor>
          </objectPr>
        </oleObject>
      </mc:Choice>
      <mc:Fallback>
        <oleObject progId="Equation.DSMT4" shapeId="19535" r:id="rId131"/>
      </mc:Fallback>
    </mc:AlternateContent>
    <mc:AlternateContent xmlns:mc="http://schemas.openxmlformats.org/markup-compatibility/2006">
      <mc:Choice Requires="x14">
        <oleObject progId="Equation.DSMT4" shapeId="19536" r:id="rId132">
          <objectPr defaultSize="0" autoPict="0" r:id="rId72">
            <anchor moveWithCells="1">
              <from>
                <xdr:col>2</xdr:col>
                <xdr:colOff>476250</xdr:colOff>
                <xdr:row>782</xdr:row>
                <xdr:rowOff>123825</xdr:rowOff>
              </from>
              <to>
                <xdr:col>4</xdr:col>
                <xdr:colOff>257175</xdr:colOff>
                <xdr:row>785</xdr:row>
                <xdr:rowOff>9525</xdr:rowOff>
              </to>
            </anchor>
          </objectPr>
        </oleObject>
      </mc:Choice>
      <mc:Fallback>
        <oleObject progId="Equation.DSMT4" shapeId="19536" r:id="rId132"/>
      </mc:Fallback>
    </mc:AlternateContent>
    <mc:AlternateContent xmlns:mc="http://schemas.openxmlformats.org/markup-compatibility/2006">
      <mc:Choice Requires="x14">
        <oleObject progId="Equation.DSMT4" shapeId="19537" r:id="rId133">
          <objectPr defaultSize="0" autoPict="0" r:id="rId96">
            <anchor moveWithCells="1">
              <from>
                <xdr:col>1</xdr:col>
                <xdr:colOff>962025</xdr:colOff>
                <xdr:row>778</xdr:row>
                <xdr:rowOff>28575</xdr:rowOff>
              </from>
              <to>
                <xdr:col>5</xdr:col>
                <xdr:colOff>266700</xdr:colOff>
                <xdr:row>781</xdr:row>
                <xdr:rowOff>66675</xdr:rowOff>
              </to>
            </anchor>
          </objectPr>
        </oleObject>
      </mc:Choice>
      <mc:Fallback>
        <oleObject progId="Equation.DSMT4" shapeId="19537" r:id="rId133"/>
      </mc:Fallback>
    </mc:AlternateContent>
    <mc:AlternateContent xmlns:mc="http://schemas.openxmlformats.org/markup-compatibility/2006">
      <mc:Choice Requires="x14">
        <oleObject progId="Equation.DSMT4" shapeId="19538" r:id="rId134">
          <objectPr defaultSize="0" autoPict="0" r:id="rId98">
            <anchor moveWithCells="1">
              <from>
                <xdr:col>1</xdr:col>
                <xdr:colOff>981075</xdr:colOff>
                <xdr:row>775</xdr:row>
                <xdr:rowOff>123825</xdr:rowOff>
              </from>
              <to>
                <xdr:col>5</xdr:col>
                <xdr:colOff>0</xdr:colOff>
                <xdr:row>778</xdr:row>
                <xdr:rowOff>47625</xdr:rowOff>
              </to>
            </anchor>
          </objectPr>
        </oleObject>
      </mc:Choice>
      <mc:Fallback>
        <oleObject progId="Equation.DSMT4" shapeId="19538" r:id="rId134"/>
      </mc:Fallback>
    </mc:AlternateContent>
    <mc:AlternateContent xmlns:mc="http://schemas.openxmlformats.org/markup-compatibility/2006">
      <mc:Choice Requires="x14">
        <oleObject progId="Equation.DSMT4" shapeId="19539" r:id="rId135">
          <objectPr defaultSize="0" autoPict="0" r:id="rId100">
            <anchor moveWithCells="1" sizeWithCells="1">
              <from>
                <xdr:col>2</xdr:col>
                <xdr:colOff>200025</xdr:colOff>
                <xdr:row>745</xdr:row>
                <xdr:rowOff>152400</xdr:rowOff>
              </from>
              <to>
                <xdr:col>5</xdr:col>
                <xdr:colOff>19050</xdr:colOff>
                <xdr:row>749</xdr:row>
                <xdr:rowOff>9525</xdr:rowOff>
              </to>
            </anchor>
          </objectPr>
        </oleObject>
      </mc:Choice>
      <mc:Fallback>
        <oleObject progId="Equation.DSMT4" shapeId="19539" r:id="rId135"/>
      </mc:Fallback>
    </mc:AlternateContent>
    <mc:AlternateContent xmlns:mc="http://schemas.openxmlformats.org/markup-compatibility/2006">
      <mc:Choice Requires="x14">
        <oleObject progId="Equation.DSMT4" shapeId="19540" r:id="rId136">
          <objectPr defaultSize="0" autoPict="0" r:id="rId102">
            <anchor moveWithCells="1" sizeWithCells="1">
              <from>
                <xdr:col>2</xdr:col>
                <xdr:colOff>295275</xdr:colOff>
                <xdr:row>752</xdr:row>
                <xdr:rowOff>28575</xdr:rowOff>
              </from>
              <to>
                <xdr:col>5</xdr:col>
                <xdr:colOff>9525</xdr:colOff>
                <xdr:row>755</xdr:row>
                <xdr:rowOff>85725</xdr:rowOff>
              </to>
            </anchor>
          </objectPr>
        </oleObject>
      </mc:Choice>
      <mc:Fallback>
        <oleObject progId="Equation.DSMT4" shapeId="19540" r:id="rId136"/>
      </mc:Fallback>
    </mc:AlternateContent>
    <mc:AlternateContent xmlns:mc="http://schemas.openxmlformats.org/markup-compatibility/2006">
      <mc:Choice Requires="x14">
        <oleObject progId="Equation.DSMT4" shapeId="19541" r:id="rId137">
          <objectPr defaultSize="0" autoPict="0" r:id="rId58">
            <anchor moveWithCells="1" sizeWithCells="1">
              <from>
                <xdr:col>3</xdr:col>
                <xdr:colOff>457200</xdr:colOff>
                <xdr:row>757</xdr:row>
                <xdr:rowOff>142875</xdr:rowOff>
              </from>
              <to>
                <xdr:col>5</xdr:col>
                <xdr:colOff>28575</xdr:colOff>
                <xdr:row>761</xdr:row>
                <xdr:rowOff>19050</xdr:rowOff>
              </to>
            </anchor>
          </objectPr>
        </oleObject>
      </mc:Choice>
      <mc:Fallback>
        <oleObject progId="Equation.DSMT4" shapeId="19541" r:id="rId137"/>
      </mc:Fallback>
    </mc:AlternateContent>
    <mc:AlternateContent xmlns:mc="http://schemas.openxmlformats.org/markup-compatibility/2006">
      <mc:Choice Requires="x14">
        <oleObject progId="Equation.DSMT4" shapeId="19542" r:id="rId138">
          <objectPr defaultSize="0" autoPict="0" r:id="rId60">
            <anchor moveWithCells="1" sizeWithCells="1">
              <from>
                <xdr:col>3</xdr:col>
                <xdr:colOff>47625</xdr:colOff>
                <xdr:row>761</xdr:row>
                <xdr:rowOff>38100</xdr:rowOff>
              </from>
              <to>
                <xdr:col>5</xdr:col>
                <xdr:colOff>66675</xdr:colOff>
                <xdr:row>764</xdr:row>
                <xdr:rowOff>57150</xdr:rowOff>
              </to>
            </anchor>
          </objectPr>
        </oleObject>
      </mc:Choice>
      <mc:Fallback>
        <oleObject progId="Equation.DSMT4" shapeId="19542" r:id="rId138"/>
      </mc:Fallback>
    </mc:AlternateContent>
    <mc:AlternateContent xmlns:mc="http://schemas.openxmlformats.org/markup-compatibility/2006">
      <mc:Choice Requires="x14">
        <oleObject progId="Equation.DSMT4" shapeId="19543" r:id="rId139">
          <objectPr defaultSize="0" autoPict="0" r:id="rId24">
            <anchor moveWithCells="1" sizeWithCells="1">
              <from>
                <xdr:col>1</xdr:col>
                <xdr:colOff>781050</xdr:colOff>
                <xdr:row>801</xdr:row>
                <xdr:rowOff>57150</xdr:rowOff>
              </from>
              <to>
                <xdr:col>4</xdr:col>
                <xdr:colOff>9525</xdr:colOff>
                <xdr:row>805</xdr:row>
                <xdr:rowOff>76200</xdr:rowOff>
              </to>
            </anchor>
          </objectPr>
        </oleObject>
      </mc:Choice>
      <mc:Fallback>
        <oleObject progId="Equation.DSMT4" shapeId="19543" r:id="rId139"/>
      </mc:Fallback>
    </mc:AlternateContent>
    <mc:AlternateContent xmlns:mc="http://schemas.openxmlformats.org/markup-compatibility/2006">
      <mc:Choice Requires="x14">
        <oleObject progId="Equation.DSMT4" shapeId="19544" r:id="rId140">
          <objectPr defaultSize="0" autoPict="0" r:id="rId26">
            <anchor moveWithCells="1" sizeWithCells="1">
              <from>
                <xdr:col>1</xdr:col>
                <xdr:colOff>800100</xdr:colOff>
                <xdr:row>807</xdr:row>
                <xdr:rowOff>104775</xdr:rowOff>
              </from>
              <to>
                <xdr:col>3</xdr:col>
                <xdr:colOff>247650</xdr:colOff>
                <xdr:row>811</xdr:row>
                <xdr:rowOff>0</xdr:rowOff>
              </to>
            </anchor>
          </objectPr>
        </oleObject>
      </mc:Choice>
      <mc:Fallback>
        <oleObject progId="Equation.DSMT4" shapeId="19544" r:id="rId140"/>
      </mc:Fallback>
    </mc:AlternateContent>
    <mc:AlternateContent xmlns:mc="http://schemas.openxmlformats.org/markup-compatibility/2006">
      <mc:Choice Requires="x14">
        <oleObject progId="Equation.DSMT4" shapeId="19545" r:id="rId141">
          <objectPr defaultSize="0" autoPict="0" r:id="rId28">
            <anchor moveWithCells="1" sizeWithCells="1">
              <from>
                <xdr:col>2</xdr:col>
                <xdr:colOff>390525</xdr:colOff>
                <xdr:row>813</xdr:row>
                <xdr:rowOff>57150</xdr:rowOff>
              </from>
              <to>
                <xdr:col>3</xdr:col>
                <xdr:colOff>438150</xdr:colOff>
                <xdr:row>816</xdr:row>
                <xdr:rowOff>95250</xdr:rowOff>
              </to>
            </anchor>
          </objectPr>
        </oleObject>
      </mc:Choice>
      <mc:Fallback>
        <oleObject progId="Equation.DSMT4" shapeId="19545" r:id="rId141"/>
      </mc:Fallback>
    </mc:AlternateContent>
    <mc:AlternateContent xmlns:mc="http://schemas.openxmlformats.org/markup-compatibility/2006">
      <mc:Choice Requires="x14">
        <oleObject progId="Equation.DSMT4" shapeId="19546" r:id="rId142">
          <objectPr defaultSize="0" autoPict="0" r:id="rId109">
            <anchor moveWithCells="1" sizeWithCells="1">
              <from>
                <xdr:col>2</xdr:col>
                <xdr:colOff>95250</xdr:colOff>
                <xdr:row>817</xdr:row>
                <xdr:rowOff>9525</xdr:rowOff>
              </from>
              <to>
                <xdr:col>4</xdr:col>
                <xdr:colOff>171450</xdr:colOff>
                <xdr:row>820</xdr:row>
                <xdr:rowOff>85725</xdr:rowOff>
              </to>
            </anchor>
          </objectPr>
        </oleObject>
      </mc:Choice>
      <mc:Fallback>
        <oleObject progId="Equation.DSMT4" shapeId="19546" r:id="rId142"/>
      </mc:Fallback>
    </mc:AlternateContent>
    <mc:AlternateContent xmlns:mc="http://schemas.openxmlformats.org/markup-compatibility/2006">
      <mc:Choice Requires="x14">
        <oleObject progId="Equation.DSMT4" shapeId="19547" r:id="rId143">
          <objectPr defaultSize="0" autoPict="0" r:id="rId32">
            <anchor moveWithCells="1" sizeWithCells="1">
              <from>
                <xdr:col>1</xdr:col>
                <xdr:colOff>895350</xdr:colOff>
                <xdr:row>824</xdr:row>
                <xdr:rowOff>28575</xdr:rowOff>
              </from>
              <to>
                <xdr:col>3</xdr:col>
                <xdr:colOff>238125</xdr:colOff>
                <xdr:row>827</xdr:row>
                <xdr:rowOff>133350</xdr:rowOff>
              </to>
            </anchor>
          </objectPr>
        </oleObject>
      </mc:Choice>
      <mc:Fallback>
        <oleObject progId="Equation.DSMT4" shapeId="19547" r:id="rId143"/>
      </mc:Fallback>
    </mc:AlternateContent>
    <mc:AlternateContent xmlns:mc="http://schemas.openxmlformats.org/markup-compatibility/2006">
      <mc:Choice Requires="x14">
        <oleObject progId="Equation.DSMT4" shapeId="19548" r:id="rId144">
          <objectPr defaultSize="0" autoPict="0" r:id="rId36">
            <anchor moveWithCells="1" sizeWithCells="1">
              <from>
                <xdr:col>1</xdr:col>
                <xdr:colOff>1228725</xdr:colOff>
                <xdr:row>845</xdr:row>
                <xdr:rowOff>114300</xdr:rowOff>
              </from>
              <to>
                <xdr:col>4</xdr:col>
                <xdr:colOff>161925</xdr:colOff>
                <xdr:row>849</xdr:row>
                <xdr:rowOff>57150</xdr:rowOff>
              </to>
            </anchor>
          </objectPr>
        </oleObject>
      </mc:Choice>
      <mc:Fallback>
        <oleObject progId="Equation.DSMT4" shapeId="19548" r:id="rId144"/>
      </mc:Fallback>
    </mc:AlternateContent>
    <mc:AlternateContent xmlns:mc="http://schemas.openxmlformats.org/markup-compatibility/2006">
      <mc:Choice Requires="x14">
        <oleObject progId="Equation.DSMT4" shapeId="19549" r:id="rId145">
          <objectPr defaultSize="0" autoPict="0" r:id="rId92">
            <anchor moveWithCells="1">
              <from>
                <xdr:col>1</xdr:col>
                <xdr:colOff>990600</xdr:colOff>
                <xdr:row>833</xdr:row>
                <xdr:rowOff>47625</xdr:rowOff>
              </from>
              <to>
                <xdr:col>5</xdr:col>
                <xdr:colOff>295275</xdr:colOff>
                <xdr:row>836</xdr:row>
                <xdr:rowOff>85725</xdr:rowOff>
              </to>
            </anchor>
          </objectPr>
        </oleObject>
      </mc:Choice>
      <mc:Fallback>
        <oleObject progId="Equation.DSMT4" shapeId="19549" r:id="rId145"/>
      </mc:Fallback>
    </mc:AlternateContent>
    <mc:AlternateContent xmlns:mc="http://schemas.openxmlformats.org/markup-compatibility/2006">
      <mc:Choice Requires="x14">
        <oleObject progId="Equation.DSMT4" shapeId="19550" r:id="rId146">
          <objectPr defaultSize="0" autoPict="0" r:id="rId94">
            <anchor moveWithCells="1">
              <from>
                <xdr:col>1</xdr:col>
                <xdr:colOff>1009650</xdr:colOff>
                <xdr:row>830</xdr:row>
                <xdr:rowOff>142875</xdr:rowOff>
              </from>
              <to>
                <xdr:col>5</xdr:col>
                <xdr:colOff>38100</xdr:colOff>
                <xdr:row>833</xdr:row>
                <xdr:rowOff>66675</xdr:rowOff>
              </to>
            </anchor>
          </objectPr>
        </oleObject>
      </mc:Choice>
      <mc:Fallback>
        <oleObject progId="Equation.DSMT4" shapeId="19550" r:id="rId146"/>
      </mc:Fallback>
    </mc:AlternateContent>
    <mc:AlternateContent xmlns:mc="http://schemas.openxmlformats.org/markup-compatibility/2006">
      <mc:Choice Requires="x14">
        <oleObject progId="Equation.DSMT4" shapeId="19551" r:id="rId147">
          <objectPr defaultSize="0" autoPict="0" r:id="rId148">
            <anchor moveWithCells="1">
              <from>
                <xdr:col>2</xdr:col>
                <xdr:colOff>342900</xdr:colOff>
                <xdr:row>921</xdr:row>
                <xdr:rowOff>19050</xdr:rowOff>
              </from>
              <to>
                <xdr:col>5</xdr:col>
                <xdr:colOff>85725</xdr:colOff>
                <xdr:row>924</xdr:row>
                <xdr:rowOff>38100</xdr:rowOff>
              </to>
            </anchor>
          </objectPr>
        </oleObject>
      </mc:Choice>
      <mc:Fallback>
        <oleObject progId="Equation.DSMT4" shapeId="19551" r:id="rId147"/>
      </mc:Fallback>
    </mc:AlternateContent>
    <mc:AlternateContent xmlns:mc="http://schemas.openxmlformats.org/markup-compatibility/2006">
      <mc:Choice Requires="x14">
        <oleObject progId="Equation.DSMT4" shapeId="19552" r:id="rId149">
          <objectPr defaultSize="0" autoPict="0" r:id="rId150">
            <anchor moveWithCells="1">
              <from>
                <xdr:col>1</xdr:col>
                <xdr:colOff>1000125</xdr:colOff>
                <xdr:row>967</xdr:row>
                <xdr:rowOff>66675</xdr:rowOff>
              </from>
              <to>
                <xdr:col>5</xdr:col>
                <xdr:colOff>276225</xdr:colOff>
                <xdr:row>969</xdr:row>
                <xdr:rowOff>0</xdr:rowOff>
              </to>
            </anchor>
          </objectPr>
        </oleObject>
      </mc:Choice>
      <mc:Fallback>
        <oleObject progId="Equation.DSMT4" shapeId="19552" r:id="rId149"/>
      </mc:Fallback>
    </mc:AlternateContent>
    <mc:AlternateContent xmlns:mc="http://schemas.openxmlformats.org/markup-compatibility/2006">
      <mc:Choice Requires="x14">
        <oleObject progId="Equation.DSMT4" shapeId="19553" r:id="rId151">
          <objectPr defaultSize="0" autoPict="0" r:id="rId46">
            <anchor moveWithCells="1">
              <from>
                <xdr:col>2</xdr:col>
                <xdr:colOff>104775</xdr:colOff>
                <xdr:row>977</xdr:row>
                <xdr:rowOff>142875</xdr:rowOff>
              </from>
              <to>
                <xdr:col>4</xdr:col>
                <xdr:colOff>428625</xdr:colOff>
                <xdr:row>981</xdr:row>
                <xdr:rowOff>38100</xdr:rowOff>
              </to>
            </anchor>
          </objectPr>
        </oleObject>
      </mc:Choice>
      <mc:Fallback>
        <oleObject progId="Equation.DSMT4" shapeId="19553" r:id="rId151"/>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F71FD-D139-40CE-B624-4FCC024C1045}">
  <sheetPr codeName="shEJeff"/>
  <dimension ref="B1:AI43"/>
  <sheetViews>
    <sheetView workbookViewId="0">
      <selection activeCell="F71" sqref="F71"/>
    </sheetView>
  </sheetViews>
  <sheetFormatPr defaultColWidth="11.5703125" defaultRowHeight="15" x14ac:dyDescent="0.25"/>
  <cols>
    <col min="1" max="1" width="4.28515625" style="106" customWidth="1"/>
    <col min="2" max="2" width="11.5703125" style="106"/>
    <col min="3" max="3" width="16.85546875" style="106" customWidth="1"/>
    <col min="4" max="6" width="11.5703125" style="106"/>
    <col min="7" max="7" width="12.28515625" style="106" customWidth="1"/>
    <col min="8" max="8" width="31" style="106" customWidth="1"/>
    <col min="9" max="9" width="9.140625" style="106" customWidth="1"/>
    <col min="10" max="10" width="18.5703125" style="106" customWidth="1"/>
    <col min="11" max="11" width="13.140625" style="106" customWidth="1"/>
    <col min="12" max="12" width="17.28515625" style="147" hidden="1" customWidth="1"/>
    <col min="13" max="15" width="0" style="147" hidden="1" customWidth="1"/>
    <col min="16" max="16" width="3.85546875" style="106" hidden="1" customWidth="1"/>
    <col min="17" max="17" width="12.42578125" style="106" hidden="1" customWidth="1"/>
    <col min="18" max="18" width="7.28515625" style="106" hidden="1" customWidth="1"/>
    <col min="19" max="19" width="3.85546875" style="106" hidden="1" customWidth="1"/>
    <col min="20" max="20" width="12.42578125" style="106" hidden="1" customWidth="1"/>
    <col min="21" max="21" width="6.7109375" style="147" hidden="1" customWidth="1"/>
    <col min="22" max="22" width="6.7109375" style="106" hidden="1" customWidth="1"/>
    <col min="23" max="23" width="10.7109375" style="106" hidden="1" customWidth="1"/>
    <col min="24" max="25" width="11.5703125" style="106"/>
    <col min="26" max="26" width="4.7109375" style="106" customWidth="1"/>
    <col min="27" max="27" width="9.28515625" style="106" customWidth="1"/>
    <col min="28" max="29" width="12" style="106" customWidth="1"/>
    <col min="30" max="30" width="11.5703125" style="106"/>
    <col min="31" max="31" width="2.85546875" style="106" customWidth="1"/>
    <col min="32" max="16384" width="11.5703125" style="106"/>
  </cols>
  <sheetData>
    <row r="1" spans="2:35" ht="18.75" x14ac:dyDescent="0.25">
      <c r="B1" s="145" t="s">
        <v>349</v>
      </c>
      <c r="C1" s="146"/>
      <c r="D1" s="146"/>
      <c r="E1" s="146"/>
      <c r="F1" s="146"/>
      <c r="G1" s="146"/>
    </row>
    <row r="2" spans="2:35" ht="18.75" x14ac:dyDescent="0.25">
      <c r="B2" s="106" t="s">
        <v>332</v>
      </c>
      <c r="D2" s="148" t="s">
        <v>754</v>
      </c>
      <c r="E2" s="148" t="s">
        <v>755</v>
      </c>
      <c r="F2" s="148" t="s">
        <v>756</v>
      </c>
      <c r="G2" s="148" t="s">
        <v>757</v>
      </c>
      <c r="H2" s="149"/>
      <c r="I2" s="149"/>
      <c r="J2" s="106" t="s">
        <v>429</v>
      </c>
      <c r="K2" s="150">
        <f>(Input!$E$30-Input!$K$30)*(0.5-0.35*((Input!$E$30-Input!$K$30)/Input!$E$33)^0.9*($D$3*MAX($X$21:$Y$21)/($F$3*SUM($X$21:$Y$21)))^0.45)</f>
        <v>230.98665987874804</v>
      </c>
      <c r="AF2" s="106" t="s">
        <v>429</v>
      </c>
      <c r="AG2" s="150">
        <f>MAX(C10:C20)</f>
        <v>30</v>
      </c>
      <c r="AH2" s="151" t="s">
        <v>0</v>
      </c>
    </row>
    <row r="3" spans="2:35" ht="18.75" x14ac:dyDescent="0.25">
      <c r="B3" s="106">
        <f>Input!$E$30</f>
        <v>800</v>
      </c>
      <c r="D3" s="152">
        <f>INDEX(TimberType[],MATCH(Input!$C$22,TimberType[Classe],0),MATCH(D2,TimberType[#Headers],0))</f>
        <v>11000</v>
      </c>
      <c r="E3" s="152">
        <f>INDEX(TimberType[],MATCH(Input!$C$22,TimberType[Classe],0),MATCH(E2,TimberType[#Headers],0))</f>
        <v>370</v>
      </c>
      <c r="F3" s="152">
        <f>INDEX(TimberType[],MATCH(Input!$C$22,TimberType[Classe],0),MATCH(F2,TimberType[#Headers],0))</f>
        <v>690</v>
      </c>
      <c r="G3" s="152">
        <v>69</v>
      </c>
      <c r="H3" s="148" t="str">
        <f>Input!$C$28</f>
        <v xml:space="preserve">80mm-3-   30 20 30   </v>
      </c>
      <c r="I3" s="149"/>
      <c r="J3" s="153" t="s">
        <v>430</v>
      </c>
      <c r="K3" s="150">
        <f>K2*2+Input!$K$30</f>
        <v>611.97331975749603</v>
      </c>
      <c r="L3" s="154" t="s">
        <v>396</v>
      </c>
      <c r="M3" s="155" t="str">
        <f>Input!C28</f>
        <v xml:space="preserve">80mm-3-   30 20 30   </v>
      </c>
      <c r="X3" s="106" t="s">
        <v>431</v>
      </c>
      <c r="AF3" s="153" t="s">
        <v>430</v>
      </c>
      <c r="AG3" s="150">
        <f>AG2*2+Input!$K$30</f>
        <v>210</v>
      </c>
      <c r="AH3" s="151" t="s">
        <v>0</v>
      </c>
    </row>
    <row r="4" spans="2:35" ht="7.5" customHeight="1" x14ac:dyDescent="0.25">
      <c r="J4" s="156"/>
      <c r="K4" s="156"/>
      <c r="L4" s="156"/>
      <c r="M4" s="156"/>
      <c r="N4" s="156"/>
      <c r="O4" s="156"/>
      <c r="P4" s="156"/>
      <c r="Q4" s="156"/>
      <c r="R4" s="156"/>
      <c r="S4" s="156"/>
      <c r="T4" s="156"/>
      <c r="U4" s="156"/>
    </row>
    <row r="5" spans="2:35" ht="15.75" thickBot="1" x14ac:dyDescent="0.3">
      <c r="B5" s="120"/>
      <c r="C5" s="120"/>
      <c r="D5" s="120"/>
      <c r="E5" s="120"/>
      <c r="F5" s="120"/>
      <c r="G5" s="120"/>
      <c r="H5" s="120"/>
      <c r="I5" s="120"/>
      <c r="J5" s="120"/>
      <c r="K5" s="120"/>
      <c r="L5" s="120"/>
      <c r="M5" s="120"/>
      <c r="N5" s="120"/>
      <c r="O5" s="120"/>
      <c r="P5" s="120"/>
      <c r="Q5" s="120"/>
      <c r="R5" s="120"/>
      <c r="S5" s="120"/>
      <c r="T5" s="120"/>
      <c r="U5" s="120"/>
      <c r="V5" s="120"/>
      <c r="W5" s="120"/>
      <c r="X5" s="120"/>
      <c r="Y5" s="120"/>
      <c r="Z5" s="120"/>
      <c r="AA5" s="413" t="s">
        <v>698</v>
      </c>
      <c r="AB5" s="413"/>
      <c r="AC5" s="413"/>
      <c r="AD5" s="413"/>
      <c r="AF5" s="413" t="s">
        <v>734</v>
      </c>
      <c r="AG5" s="413"/>
      <c r="AH5" s="413"/>
      <c r="AI5" s="413"/>
    </row>
    <row r="6" spans="2:35" x14ac:dyDescent="0.25">
      <c r="B6" s="153" t="s">
        <v>350</v>
      </c>
    </row>
    <row r="7" spans="2:35" ht="17.25" x14ac:dyDescent="0.25">
      <c r="B7" s="409" t="s">
        <v>351</v>
      </c>
      <c r="C7" s="409"/>
      <c r="D7" s="409"/>
      <c r="E7" s="409"/>
      <c r="F7" s="409"/>
      <c r="G7" s="409"/>
      <c r="H7" s="409"/>
      <c r="I7" s="410"/>
      <c r="J7" s="401" t="s">
        <v>400</v>
      </c>
      <c r="K7" s="402"/>
      <c r="L7" s="401" t="s">
        <v>352</v>
      </c>
      <c r="M7" s="402"/>
      <c r="N7" s="158" t="s">
        <v>353</v>
      </c>
      <c r="O7" s="405" t="s">
        <v>354</v>
      </c>
      <c r="P7" s="405"/>
      <c r="Q7" s="402"/>
      <c r="R7" s="405" t="s">
        <v>354</v>
      </c>
      <c r="S7" s="405"/>
      <c r="T7" s="402"/>
      <c r="U7" s="405" t="s">
        <v>355</v>
      </c>
      <c r="V7" s="402"/>
      <c r="W7" s="158" t="s">
        <v>356</v>
      </c>
      <c r="X7" s="401" t="s">
        <v>401</v>
      </c>
      <c r="Y7" s="402"/>
      <c r="AA7" s="401" t="s">
        <v>432</v>
      </c>
      <c r="AB7" s="402"/>
      <c r="AC7" s="401" t="s">
        <v>433</v>
      </c>
      <c r="AD7" s="402"/>
      <c r="AF7" s="401" t="s">
        <v>432</v>
      </c>
      <c r="AG7" s="402"/>
      <c r="AH7" s="401" t="s">
        <v>433</v>
      </c>
      <c r="AI7" s="402"/>
    </row>
    <row r="8" spans="2:35" s="153" customFormat="1" ht="18" x14ac:dyDescent="0.25">
      <c r="B8" s="406" t="s">
        <v>357</v>
      </c>
      <c r="C8" s="160" t="s">
        <v>358</v>
      </c>
      <c r="D8" s="161" t="s">
        <v>359</v>
      </c>
      <c r="E8" s="161" t="s">
        <v>360</v>
      </c>
      <c r="F8" s="160" t="s">
        <v>361</v>
      </c>
      <c r="G8" s="160" t="s">
        <v>362</v>
      </c>
      <c r="H8" s="160" t="s">
        <v>363</v>
      </c>
      <c r="I8" s="157" t="s">
        <v>364</v>
      </c>
      <c r="J8" s="403" t="s">
        <v>399</v>
      </c>
      <c r="K8" s="404"/>
      <c r="L8" s="403" t="s">
        <v>365</v>
      </c>
      <c r="M8" s="404"/>
      <c r="N8" s="163" t="s">
        <v>366</v>
      </c>
      <c r="O8" s="403" t="s">
        <v>366</v>
      </c>
      <c r="P8" s="408"/>
      <c r="Q8" s="404"/>
      <c r="R8" s="408" t="s">
        <v>366</v>
      </c>
      <c r="S8" s="408"/>
      <c r="T8" s="404"/>
      <c r="U8" s="403" t="s">
        <v>367</v>
      </c>
      <c r="V8" s="404"/>
      <c r="W8" s="163" t="s">
        <v>367</v>
      </c>
      <c r="X8" s="403" t="s">
        <v>402</v>
      </c>
      <c r="Y8" s="404"/>
      <c r="AA8" s="411" t="s">
        <v>759</v>
      </c>
      <c r="AB8" s="412"/>
      <c r="AC8" s="411" t="s">
        <v>760</v>
      </c>
      <c r="AD8" s="412"/>
      <c r="AF8" s="411" t="s">
        <v>759</v>
      </c>
      <c r="AG8" s="412"/>
      <c r="AH8" s="411" t="s">
        <v>760</v>
      </c>
      <c r="AI8" s="412"/>
    </row>
    <row r="9" spans="2:35" s="153" customFormat="1" ht="18" x14ac:dyDescent="0.25">
      <c r="B9" s="407"/>
      <c r="C9" s="163" t="s">
        <v>0</v>
      </c>
      <c r="D9" s="163" t="s">
        <v>368</v>
      </c>
      <c r="E9" s="163" t="s">
        <v>368</v>
      </c>
      <c r="F9" s="163" t="s">
        <v>368</v>
      </c>
      <c r="G9" s="163" t="s">
        <v>368</v>
      </c>
      <c r="H9" s="163" t="s">
        <v>368</v>
      </c>
      <c r="I9" s="162" t="s">
        <v>0</v>
      </c>
      <c r="J9" s="159" t="s">
        <v>397</v>
      </c>
      <c r="K9" s="164" t="s">
        <v>398</v>
      </c>
      <c r="L9" s="159" t="s">
        <v>369</v>
      </c>
      <c r="M9" s="164" t="s">
        <v>370</v>
      </c>
      <c r="N9" s="164" t="s">
        <v>371</v>
      </c>
      <c r="O9" s="166" t="s">
        <v>372</v>
      </c>
      <c r="P9" s="165" t="s">
        <v>373</v>
      </c>
      <c r="Q9" s="159" t="s">
        <v>374</v>
      </c>
      <c r="R9" s="159" t="s">
        <v>375</v>
      </c>
      <c r="S9" s="166" t="s">
        <v>373</v>
      </c>
      <c r="T9" s="159" t="s">
        <v>374</v>
      </c>
      <c r="U9" s="166" t="s">
        <v>376</v>
      </c>
      <c r="V9" s="159" t="s">
        <v>376</v>
      </c>
      <c r="W9" s="164" t="s">
        <v>377</v>
      </c>
      <c r="X9" s="164" t="s">
        <v>403</v>
      </c>
      <c r="Y9" s="164" t="s">
        <v>404</v>
      </c>
      <c r="AA9" s="116" t="s">
        <v>758</v>
      </c>
      <c r="AB9" s="116" t="s">
        <v>398</v>
      </c>
      <c r="AC9" s="116" t="s">
        <v>403</v>
      </c>
      <c r="AD9" s="116" t="s">
        <v>404</v>
      </c>
      <c r="AF9" s="116" t="s">
        <v>758</v>
      </c>
      <c r="AG9" s="116" t="s">
        <v>398</v>
      </c>
      <c r="AH9" s="116" t="s">
        <v>403</v>
      </c>
      <c r="AI9" s="116" t="s">
        <v>404</v>
      </c>
    </row>
    <row r="10" spans="2:35" x14ac:dyDescent="0.25">
      <c r="B10" s="167">
        <v>11</v>
      </c>
      <c r="C10" s="168">
        <v>0</v>
      </c>
      <c r="D10" s="167">
        <f>D3</f>
        <v>11000</v>
      </c>
      <c r="E10" s="167">
        <f>E3</f>
        <v>370</v>
      </c>
      <c r="F10" s="167">
        <f>F3</f>
        <v>690</v>
      </c>
      <c r="G10" s="167">
        <f>G3</f>
        <v>69</v>
      </c>
      <c r="H10" s="167">
        <v>690</v>
      </c>
      <c r="I10" s="169">
        <f>I11-C11/2-C10/2</f>
        <v>-40</v>
      </c>
      <c r="J10" s="169">
        <f>IF(D10&gt;E10,(C10^3/12+C10*(I10^2))*$B$3,0)</f>
        <v>0</v>
      </c>
      <c r="K10" s="169">
        <f>IF(D10&lt;E10,(C10^3/12+C10*(I10^2))*$B$3,0)</f>
        <v>0</v>
      </c>
      <c r="L10" s="170">
        <f>(D10*(C10/1000)^3/12+D10*C10/1000*(I10/1000)^2)*10^3</f>
        <v>0</v>
      </c>
      <c r="M10" s="170">
        <f>(E10*(C10/1000)^3/12+E10*C10/1000*(I10/1000)^2)*1000</f>
        <v>0</v>
      </c>
      <c r="N10" s="170">
        <f t="shared" ref="N10:N20" si="0">(2*H10*C10/1000*(I10/1000)^2+H10*(C10/1000)^3/6)*1000</f>
        <v>0</v>
      </c>
      <c r="O10" s="167">
        <f t="shared" ref="O10:O20" si="1">(D10*C10/1000*(I10/1000)^2)*1000</f>
        <v>0</v>
      </c>
      <c r="P10" s="167">
        <f>1/$O$21*D10*C10/1000*I10/1000*10^3</f>
        <v>0</v>
      </c>
      <c r="Q10" s="167" t="str">
        <f>IF(C10=0,"",(C10/1000)/(3*F10)*(P10+P10^2)*1000)</f>
        <v/>
      </c>
      <c r="R10" s="167">
        <f t="shared" ref="R10:R20" si="2">(E10*C10/1000*(I10/1000)^2)*1000</f>
        <v>0</v>
      </c>
      <c r="S10" s="167">
        <f>1/$R$21*E10*C10/1000*I10/1000*10^3</f>
        <v>0</v>
      </c>
      <c r="T10" s="167" t="str">
        <f>IF(C10=0,"",(C10/1000)/(3*G10)*(S10+S10^2)*1000)</f>
        <v/>
      </c>
      <c r="U10" s="167">
        <f t="shared" ref="U10:U20" si="3">C10/1000*D10</f>
        <v>0</v>
      </c>
      <c r="V10" s="167">
        <f t="shared" ref="V10:V20" si="4">C10/1000*E10</f>
        <v>0</v>
      </c>
      <c r="W10" s="167">
        <f t="shared" ref="W10:W20" si="5">C10/1000*H10</f>
        <v>0</v>
      </c>
      <c r="X10" s="167">
        <f>IF(D10&gt;E10,$B$3*C10,0)</f>
        <v>0</v>
      </c>
      <c r="Y10" s="167">
        <f>IF(D10&lt;E10,$B$3*C10,0)</f>
        <v>0</v>
      </c>
      <c r="AA10" s="124">
        <f>IF(D10&gt;E10,(C10^3/12+C10*(I10^2))*$K$3,0)</f>
        <v>0</v>
      </c>
      <c r="AB10" s="124">
        <f>IF(D10&lt;E10,(C10^3/12+C10*(I10^2))*$K$3,0)</f>
        <v>0</v>
      </c>
      <c r="AC10" s="124">
        <f>IF(D10&gt;E10,$K$3*C10,0)</f>
        <v>0</v>
      </c>
      <c r="AD10" s="124">
        <f>IF(D10&lt;E10,$K$3*C10,0)</f>
        <v>0</v>
      </c>
      <c r="AF10" s="124">
        <f>IF(D10&gt;E10,(C10^3/12+C10*(I10^2))*$AG$3,0)</f>
        <v>0</v>
      </c>
      <c r="AG10" s="124">
        <f>IF(D10&lt;E10,(C10^3/12+C10*(I10^2))*$AG$3,0)</f>
        <v>0</v>
      </c>
      <c r="AH10" s="124">
        <f>IF(D10&gt;E10,$AG$3*C10,0)</f>
        <v>0</v>
      </c>
      <c r="AI10" s="124">
        <f>IF(D10&lt;E10,$AG$3*C10,0)</f>
        <v>0</v>
      </c>
    </row>
    <row r="11" spans="2:35" x14ac:dyDescent="0.25">
      <c r="B11" s="167">
        <v>9</v>
      </c>
      <c r="C11" s="171">
        <f>_xlfn.XLOOKUP(Input!$C$28,'CLT panel'!G4:G48,'CLT panel'!P4:P48,0)</f>
        <v>0</v>
      </c>
      <c r="D11" s="167">
        <f>E3</f>
        <v>370</v>
      </c>
      <c r="E11" s="167">
        <f>D3</f>
        <v>11000</v>
      </c>
      <c r="F11" s="167">
        <f>G3</f>
        <v>69</v>
      </c>
      <c r="G11" s="167">
        <f>F3</f>
        <v>690</v>
      </c>
      <c r="H11" s="167">
        <v>690</v>
      </c>
      <c r="I11" s="169">
        <f>I12-C12/2-C11/2</f>
        <v>-40</v>
      </c>
      <c r="J11" s="169">
        <f t="shared" ref="J11:J20" si="6">IF(D11&gt;E11,(C11^3/12+C11*(I11^2))*$B$3,0)</f>
        <v>0</v>
      </c>
      <c r="K11" s="169">
        <f t="shared" ref="K11:K20" si="7">IF(D11&lt;E11,(C11^3/12+C11*(I11^2))*$B$3,0)</f>
        <v>0</v>
      </c>
      <c r="L11" s="170">
        <f>(D11*(C11/1000)^3/12+D11*C11/1000*(I11/1000)^2)*10^3</f>
        <v>0</v>
      </c>
      <c r="M11" s="170">
        <f>(E11*(C11/1000)^3/12+E11*C11/1000*(I11/1000)^2)*1000</f>
        <v>0</v>
      </c>
      <c r="N11" s="170">
        <f t="shared" si="0"/>
        <v>0</v>
      </c>
      <c r="O11" s="167">
        <f t="shared" si="1"/>
        <v>0</v>
      </c>
      <c r="P11" s="167">
        <f t="shared" ref="P11:P20" si="8">(1/$O$21*D11*C11/1000*I11/1000)*10^3+P10</f>
        <v>0</v>
      </c>
      <c r="Q11" s="167" t="str">
        <f t="shared" ref="Q11:Q20" si="9">IF(C11=0,"",(C11/1000)/(3*F11)*(P10^2+P10*P11+P11^2)*1000)</f>
        <v/>
      </c>
      <c r="R11" s="167">
        <f t="shared" si="2"/>
        <v>0</v>
      </c>
      <c r="S11" s="167">
        <f t="shared" ref="S11:S20" si="10">(1/$R$21*E11*C11/1000*I11/1000)*10^3+S10</f>
        <v>0</v>
      </c>
      <c r="T11" s="167" t="str">
        <f t="shared" ref="T11:T20" si="11">IF(C11=0,"",(C11/1000)/(3*G11)*(S10^2+S10*S11+S11^2)*1000)</f>
        <v/>
      </c>
      <c r="U11" s="167">
        <f t="shared" si="3"/>
        <v>0</v>
      </c>
      <c r="V11" s="167">
        <f t="shared" si="4"/>
        <v>0</v>
      </c>
      <c r="W11" s="167">
        <f t="shared" si="5"/>
        <v>0</v>
      </c>
      <c r="X11" s="167">
        <f t="shared" ref="X11:X20" si="12">IF(D11&gt;E11,$B$3*C11,0)</f>
        <v>0</v>
      </c>
      <c r="Y11" s="167">
        <f t="shared" ref="Y11:Y20" si="13">IF(D11&lt;E11,$B$3*C11,0)</f>
        <v>0</v>
      </c>
      <c r="AA11" s="124">
        <f t="shared" ref="AA11:AA20" si="14">IF(D11&gt;E11,(C11^3/12+C11*(I11^2))*$K$3,0)</f>
        <v>0</v>
      </c>
      <c r="AB11" s="124">
        <f t="shared" ref="AB11:AB20" si="15">IF(D11&lt;E11,(C11^3/12+C11*(I11^2))*$K$3,0)</f>
        <v>0</v>
      </c>
      <c r="AC11" s="124">
        <f t="shared" ref="AC11:AC20" si="16">IF(D11&gt;E11,$K$3*C11,0)</f>
        <v>0</v>
      </c>
      <c r="AD11" s="124">
        <f t="shared" ref="AD11:AD20" si="17">IF(D11&lt;E11,$K$3*C11,0)</f>
        <v>0</v>
      </c>
      <c r="AF11" s="124">
        <f t="shared" ref="AF11:AF20" si="18">IF(D11&gt;E11,(C11^3/12+C11*(I11^2))*$AG$3,0)</f>
        <v>0</v>
      </c>
      <c r="AG11" s="124">
        <f t="shared" ref="AG11:AG20" si="19">IF(D11&lt;E11,(C11^3/12+C11*(I11^2))*$AG$3,0)</f>
        <v>0</v>
      </c>
      <c r="AH11" s="124">
        <f t="shared" ref="AH11:AH20" si="20">IF(D11&gt;E11,$AG$3*C11,0)</f>
        <v>0</v>
      </c>
      <c r="AI11" s="124">
        <f t="shared" ref="AI11:AI20" si="21">IF(D11&lt;E11,$AG$3*C11,0)</f>
        <v>0</v>
      </c>
    </row>
    <row r="12" spans="2:35" x14ac:dyDescent="0.25">
      <c r="B12" s="167">
        <v>7</v>
      </c>
      <c r="C12" s="171">
        <f>_xlfn.XLOOKUP(Input!$C$28,'CLT panel'!G4:G48,'CLT panel'!O4:O48,0)</f>
        <v>0</v>
      </c>
      <c r="D12" s="172">
        <f>D3</f>
        <v>11000</v>
      </c>
      <c r="E12" s="167">
        <f>E3</f>
        <v>370</v>
      </c>
      <c r="F12" s="167">
        <f>F3</f>
        <v>690</v>
      </c>
      <c r="G12" s="167">
        <f>G3</f>
        <v>69</v>
      </c>
      <c r="H12" s="167">
        <v>690</v>
      </c>
      <c r="I12" s="169">
        <f>I13-C13/2-C12/2</f>
        <v>-40</v>
      </c>
      <c r="J12" s="169">
        <f t="shared" si="6"/>
        <v>0</v>
      </c>
      <c r="K12" s="169">
        <f t="shared" si="7"/>
        <v>0</v>
      </c>
      <c r="L12" s="170">
        <f>(D12*(C12/1000)^3/12+D12*C12/1000*(I12/1000)^2)*10^3</f>
        <v>0</v>
      </c>
      <c r="M12" s="170">
        <f>(E12*(C12/1000)^3/12+E12*C12/1000*(I12/1000)^2)*1000</f>
        <v>0</v>
      </c>
      <c r="N12" s="170">
        <f t="shared" si="0"/>
        <v>0</v>
      </c>
      <c r="O12" s="167">
        <f t="shared" si="1"/>
        <v>0</v>
      </c>
      <c r="P12" s="167">
        <f t="shared" si="8"/>
        <v>0</v>
      </c>
      <c r="Q12" s="167" t="str">
        <f t="shared" si="9"/>
        <v/>
      </c>
      <c r="R12" s="167">
        <f t="shared" si="2"/>
        <v>0</v>
      </c>
      <c r="S12" s="167">
        <f t="shared" si="10"/>
        <v>0</v>
      </c>
      <c r="T12" s="167" t="str">
        <f t="shared" si="11"/>
        <v/>
      </c>
      <c r="U12" s="167">
        <f t="shared" si="3"/>
        <v>0</v>
      </c>
      <c r="V12" s="167">
        <f t="shared" si="4"/>
        <v>0</v>
      </c>
      <c r="W12" s="167">
        <f t="shared" si="5"/>
        <v>0</v>
      </c>
      <c r="X12" s="167">
        <f t="shared" si="12"/>
        <v>0</v>
      </c>
      <c r="Y12" s="167">
        <f t="shared" si="13"/>
        <v>0</v>
      </c>
      <c r="AA12" s="124">
        <f t="shared" si="14"/>
        <v>0</v>
      </c>
      <c r="AB12" s="124">
        <f t="shared" si="15"/>
        <v>0</v>
      </c>
      <c r="AC12" s="124">
        <f t="shared" si="16"/>
        <v>0</v>
      </c>
      <c r="AD12" s="124">
        <f t="shared" si="17"/>
        <v>0</v>
      </c>
      <c r="AF12" s="124">
        <f t="shared" si="18"/>
        <v>0</v>
      </c>
      <c r="AG12" s="124">
        <f t="shared" si="19"/>
        <v>0</v>
      </c>
      <c r="AH12" s="124">
        <f t="shared" si="20"/>
        <v>0</v>
      </c>
      <c r="AI12" s="124">
        <f t="shared" si="21"/>
        <v>0</v>
      </c>
    </row>
    <row r="13" spans="2:35" x14ac:dyDescent="0.25">
      <c r="B13" s="167">
        <v>5</v>
      </c>
      <c r="C13" s="171">
        <f>_xlfn.XLOOKUP(Input!$C$28,'CLT panel'!G4:G48,'CLT panel'!N4:N48,0)</f>
        <v>0</v>
      </c>
      <c r="D13" s="167">
        <f>E3</f>
        <v>370</v>
      </c>
      <c r="E13" s="167">
        <f>D3</f>
        <v>11000</v>
      </c>
      <c r="F13" s="167">
        <f>G3</f>
        <v>69</v>
      </c>
      <c r="G13" s="167">
        <f>F3</f>
        <v>690</v>
      </c>
      <c r="H13" s="167">
        <v>690</v>
      </c>
      <c r="I13" s="169">
        <f>I14-C14/2-C13/2</f>
        <v>-40</v>
      </c>
      <c r="J13" s="169">
        <f t="shared" si="6"/>
        <v>0</v>
      </c>
      <c r="K13" s="169">
        <f t="shared" si="7"/>
        <v>0</v>
      </c>
      <c r="L13" s="170">
        <f>(D13*(C13/1000)^3/12+D13*C13/1000*(I13/1000)^2)*1000</f>
        <v>0</v>
      </c>
      <c r="M13" s="170">
        <f>(E13*(C13/1000)^3/12+E13*C13/1000*(I13/1000)^2)*1000</f>
        <v>0</v>
      </c>
      <c r="N13" s="170">
        <f t="shared" si="0"/>
        <v>0</v>
      </c>
      <c r="O13" s="167">
        <f t="shared" si="1"/>
        <v>0</v>
      </c>
      <c r="P13" s="167">
        <f t="shared" si="8"/>
        <v>0</v>
      </c>
      <c r="Q13" s="167" t="str">
        <f t="shared" si="9"/>
        <v/>
      </c>
      <c r="R13" s="167">
        <f t="shared" si="2"/>
        <v>0</v>
      </c>
      <c r="S13" s="167">
        <f t="shared" si="10"/>
        <v>0</v>
      </c>
      <c r="T13" s="167" t="str">
        <f t="shared" si="11"/>
        <v/>
      </c>
      <c r="U13" s="167">
        <f t="shared" si="3"/>
        <v>0</v>
      </c>
      <c r="V13" s="167">
        <f t="shared" si="4"/>
        <v>0</v>
      </c>
      <c r="W13" s="167">
        <f t="shared" si="5"/>
        <v>0</v>
      </c>
      <c r="X13" s="167">
        <f t="shared" si="12"/>
        <v>0</v>
      </c>
      <c r="Y13" s="167">
        <f t="shared" si="13"/>
        <v>0</v>
      </c>
      <c r="AA13" s="124">
        <f t="shared" si="14"/>
        <v>0</v>
      </c>
      <c r="AB13" s="124">
        <f t="shared" si="15"/>
        <v>0</v>
      </c>
      <c r="AC13" s="124">
        <f t="shared" si="16"/>
        <v>0</v>
      </c>
      <c r="AD13" s="124">
        <f t="shared" si="17"/>
        <v>0</v>
      </c>
      <c r="AF13" s="124">
        <f t="shared" si="18"/>
        <v>0</v>
      </c>
      <c r="AG13" s="124">
        <f t="shared" si="19"/>
        <v>0</v>
      </c>
      <c r="AH13" s="124">
        <f t="shared" si="20"/>
        <v>0</v>
      </c>
      <c r="AI13" s="124">
        <f t="shared" si="21"/>
        <v>0</v>
      </c>
    </row>
    <row r="14" spans="2:35" x14ac:dyDescent="0.25">
      <c r="B14" s="167">
        <v>3</v>
      </c>
      <c r="C14" s="171">
        <f>_xlfn.XLOOKUP(Input!$C$28,'CLT panel'!G4:G48,'CLT panel'!M4:M48,0)</f>
        <v>30</v>
      </c>
      <c r="D14" s="167">
        <f>D3</f>
        <v>11000</v>
      </c>
      <c r="E14" s="167">
        <f>E3</f>
        <v>370</v>
      </c>
      <c r="F14" s="167">
        <f>F3</f>
        <v>690</v>
      </c>
      <c r="G14" s="167">
        <f>G3</f>
        <v>69</v>
      </c>
      <c r="H14" s="167">
        <v>690</v>
      </c>
      <c r="I14" s="169">
        <f>-C15/2-C14/2</f>
        <v>-25</v>
      </c>
      <c r="J14" s="169">
        <f t="shared" si="6"/>
        <v>16800000</v>
      </c>
      <c r="K14" s="169">
        <f t="shared" si="7"/>
        <v>0</v>
      </c>
      <c r="L14" s="170">
        <f>(D14*(C14/1000)^3/12+D14*C14/1000*(I14/1000)^2)*1000</f>
        <v>231.00000000000003</v>
      </c>
      <c r="M14" s="170">
        <f>(E14*(C14/1000)^3/12+E14*C14/1000*(I14/1000)^2)*1000</f>
        <v>7.7700000000000005</v>
      </c>
      <c r="N14" s="170">
        <f t="shared" si="0"/>
        <v>28.980000000000004</v>
      </c>
      <c r="O14" s="167">
        <f t="shared" si="1"/>
        <v>206.25000000000006</v>
      </c>
      <c r="P14" s="167">
        <f t="shared" si="8"/>
        <v>-19.999999999999996</v>
      </c>
      <c r="Q14" s="167">
        <f t="shared" si="9"/>
        <v>5.7971014492753605</v>
      </c>
      <c r="R14" s="167">
        <f t="shared" si="2"/>
        <v>6.9375000000000009</v>
      </c>
      <c r="S14" s="167">
        <f t="shared" si="10"/>
        <v>-19.999999999999996</v>
      </c>
      <c r="T14" s="167">
        <f t="shared" si="11"/>
        <v>57.971014492753604</v>
      </c>
      <c r="U14" s="167">
        <f t="shared" si="3"/>
        <v>330</v>
      </c>
      <c r="V14" s="167">
        <f t="shared" si="4"/>
        <v>11.1</v>
      </c>
      <c r="W14" s="167">
        <f t="shared" si="5"/>
        <v>20.7</v>
      </c>
      <c r="X14" s="167">
        <f t="shared" si="12"/>
        <v>24000</v>
      </c>
      <c r="Y14" s="167">
        <f t="shared" si="13"/>
        <v>0</v>
      </c>
      <c r="AA14" s="124">
        <f t="shared" si="14"/>
        <v>12851439.714907417</v>
      </c>
      <c r="AB14" s="124">
        <f t="shared" si="15"/>
        <v>0</v>
      </c>
      <c r="AC14" s="124">
        <f t="shared" si="16"/>
        <v>18359.199592724879</v>
      </c>
      <c r="AD14" s="124">
        <f t="shared" si="17"/>
        <v>0</v>
      </c>
      <c r="AF14" s="124">
        <f t="shared" si="18"/>
        <v>4410000</v>
      </c>
      <c r="AG14" s="124">
        <f t="shared" si="19"/>
        <v>0</v>
      </c>
      <c r="AH14" s="124">
        <f t="shared" si="20"/>
        <v>6300</v>
      </c>
      <c r="AI14" s="124">
        <f t="shared" si="21"/>
        <v>0</v>
      </c>
    </row>
    <row r="15" spans="2:35" s="153" customFormat="1" x14ac:dyDescent="0.25">
      <c r="B15" s="171">
        <v>0</v>
      </c>
      <c r="C15" s="171">
        <f>_xlfn.XLOOKUP(Input!$C$28,'CLT panel'!G4:G48,'CLT panel'!L4:L48,0)</f>
        <v>20</v>
      </c>
      <c r="D15" s="171">
        <f>E3</f>
        <v>370</v>
      </c>
      <c r="E15" s="171">
        <f>D3</f>
        <v>11000</v>
      </c>
      <c r="F15" s="171">
        <f>G3</f>
        <v>69</v>
      </c>
      <c r="G15" s="171">
        <f>F3</f>
        <v>690</v>
      </c>
      <c r="H15" s="171">
        <v>690</v>
      </c>
      <c r="I15" s="173">
        <v>0</v>
      </c>
      <c r="J15" s="169">
        <f t="shared" si="6"/>
        <v>0</v>
      </c>
      <c r="K15" s="169">
        <f t="shared" si="7"/>
        <v>533333.33333333326</v>
      </c>
      <c r="L15" s="174">
        <f>(D15*(C15/1000)^3/12)*1000</f>
        <v>0.24666666666666667</v>
      </c>
      <c r="M15" s="174">
        <f>E15*(C15/1000)^3/12*1000</f>
        <v>7.3333333333333339</v>
      </c>
      <c r="N15" s="174">
        <f t="shared" si="0"/>
        <v>0.92000000000000015</v>
      </c>
      <c r="O15" s="171">
        <f t="shared" si="1"/>
        <v>0</v>
      </c>
      <c r="P15" s="167">
        <f t="shared" si="8"/>
        <v>-19.999999999999996</v>
      </c>
      <c r="Q15" s="167">
        <f t="shared" si="9"/>
        <v>115.94202898550721</v>
      </c>
      <c r="R15" s="167">
        <f t="shared" si="2"/>
        <v>0</v>
      </c>
      <c r="S15" s="167">
        <f t="shared" si="10"/>
        <v>-19.999999999999996</v>
      </c>
      <c r="T15" s="167">
        <f t="shared" si="11"/>
        <v>11.594202898550719</v>
      </c>
      <c r="U15" s="167">
        <f t="shared" si="3"/>
        <v>7.4</v>
      </c>
      <c r="V15" s="167">
        <f t="shared" si="4"/>
        <v>220</v>
      </c>
      <c r="W15" s="167">
        <f t="shared" si="5"/>
        <v>13.8</v>
      </c>
      <c r="X15" s="167">
        <f t="shared" si="12"/>
        <v>0</v>
      </c>
      <c r="Y15" s="167">
        <f t="shared" si="13"/>
        <v>16000</v>
      </c>
      <c r="AA15" s="124">
        <f t="shared" si="14"/>
        <v>0</v>
      </c>
      <c r="AB15" s="124">
        <f t="shared" si="15"/>
        <v>407982.21317166399</v>
      </c>
      <c r="AC15" s="124">
        <f t="shared" si="16"/>
        <v>0</v>
      </c>
      <c r="AD15" s="124">
        <f t="shared" si="17"/>
        <v>12239.466395149921</v>
      </c>
      <c r="AF15" s="124">
        <f t="shared" si="18"/>
        <v>0</v>
      </c>
      <c r="AG15" s="124">
        <f t="shared" si="19"/>
        <v>140000</v>
      </c>
      <c r="AH15" s="124">
        <f t="shared" si="20"/>
        <v>0</v>
      </c>
      <c r="AI15" s="124">
        <f t="shared" si="21"/>
        <v>4200</v>
      </c>
    </row>
    <row r="16" spans="2:35" x14ac:dyDescent="0.25">
      <c r="B16" s="167">
        <v>3</v>
      </c>
      <c r="C16" s="175">
        <f>C14</f>
        <v>30</v>
      </c>
      <c r="D16" s="167">
        <f>D3</f>
        <v>11000</v>
      </c>
      <c r="E16" s="167">
        <f>E3</f>
        <v>370</v>
      </c>
      <c r="F16" s="167">
        <f>F3</f>
        <v>690</v>
      </c>
      <c r="G16" s="167">
        <f>G3</f>
        <v>69</v>
      </c>
      <c r="H16" s="167">
        <v>690</v>
      </c>
      <c r="I16" s="169">
        <f>C15/2+C16/2</f>
        <v>25</v>
      </c>
      <c r="J16" s="169">
        <f t="shared" si="6"/>
        <v>16800000</v>
      </c>
      <c r="K16" s="169">
        <f t="shared" si="7"/>
        <v>0</v>
      </c>
      <c r="L16" s="170">
        <f>(D16*(C16/1000)^3/12+D16*C16/1000*(I16/1000)^2)*1000</f>
        <v>231.00000000000003</v>
      </c>
      <c r="M16" s="170">
        <f>(E16*(C16/1000)^3/12+E16*C16/1000*(I16/1000)^2)*1000</f>
        <v>7.7700000000000005</v>
      </c>
      <c r="N16" s="170">
        <f t="shared" si="0"/>
        <v>28.980000000000004</v>
      </c>
      <c r="O16" s="167">
        <f t="shared" si="1"/>
        <v>206.25000000000006</v>
      </c>
      <c r="P16" s="167">
        <f t="shared" si="8"/>
        <v>0</v>
      </c>
      <c r="Q16" s="167">
        <f t="shared" si="9"/>
        <v>5.7971014492753605</v>
      </c>
      <c r="R16" s="167">
        <f t="shared" si="2"/>
        <v>6.9375000000000009</v>
      </c>
      <c r="S16" s="167">
        <f t="shared" si="10"/>
        <v>0</v>
      </c>
      <c r="T16" s="167">
        <f t="shared" si="11"/>
        <v>57.971014492753604</v>
      </c>
      <c r="U16" s="167">
        <f t="shared" si="3"/>
        <v>330</v>
      </c>
      <c r="V16" s="167">
        <f t="shared" si="4"/>
        <v>11.1</v>
      </c>
      <c r="W16" s="167">
        <f t="shared" si="5"/>
        <v>20.7</v>
      </c>
      <c r="X16" s="167">
        <f t="shared" si="12"/>
        <v>24000</v>
      </c>
      <c r="Y16" s="167">
        <f t="shared" si="13"/>
        <v>0</v>
      </c>
      <c r="AA16" s="124">
        <f t="shared" si="14"/>
        <v>12851439.714907417</v>
      </c>
      <c r="AB16" s="124">
        <f t="shared" si="15"/>
        <v>0</v>
      </c>
      <c r="AC16" s="124">
        <f t="shared" si="16"/>
        <v>18359.199592724879</v>
      </c>
      <c r="AD16" s="124">
        <f t="shared" si="17"/>
        <v>0</v>
      </c>
      <c r="AF16" s="124">
        <f t="shared" si="18"/>
        <v>4410000</v>
      </c>
      <c r="AG16" s="124">
        <f t="shared" si="19"/>
        <v>0</v>
      </c>
      <c r="AH16" s="124">
        <f t="shared" si="20"/>
        <v>6300</v>
      </c>
      <c r="AI16" s="124">
        <f t="shared" si="21"/>
        <v>0</v>
      </c>
    </row>
    <row r="17" spans="2:35" x14ac:dyDescent="0.25">
      <c r="B17" s="167">
        <v>5</v>
      </c>
      <c r="C17" s="175">
        <f>C13</f>
        <v>0</v>
      </c>
      <c r="D17" s="167">
        <f>E3</f>
        <v>370</v>
      </c>
      <c r="E17" s="167">
        <f>D3</f>
        <v>11000</v>
      </c>
      <c r="F17" s="167">
        <f>G3</f>
        <v>69</v>
      </c>
      <c r="G17" s="167">
        <f>F3</f>
        <v>690</v>
      </c>
      <c r="H17" s="167">
        <v>690</v>
      </c>
      <c r="I17" s="169">
        <f>I16+C16/2+C17/2</f>
        <v>40</v>
      </c>
      <c r="J17" s="169">
        <f t="shared" si="6"/>
        <v>0</v>
      </c>
      <c r="K17" s="169">
        <f t="shared" si="7"/>
        <v>0</v>
      </c>
      <c r="L17" s="170">
        <f>(D17*(C17/1000)^3/12+D17*C17/1000*(I17/1000)^2)*1000</f>
        <v>0</v>
      </c>
      <c r="M17" s="170">
        <f>(E17*(C17/1000)^3/12+E17*C17/1000*(I17/1000)^2)*1000</f>
        <v>0</v>
      </c>
      <c r="N17" s="170">
        <f t="shared" si="0"/>
        <v>0</v>
      </c>
      <c r="O17" s="167">
        <f t="shared" si="1"/>
        <v>0</v>
      </c>
      <c r="P17" s="167">
        <f t="shared" si="8"/>
        <v>0</v>
      </c>
      <c r="Q17" s="167" t="str">
        <f t="shared" si="9"/>
        <v/>
      </c>
      <c r="R17" s="167">
        <f t="shared" si="2"/>
        <v>0</v>
      </c>
      <c r="S17" s="167">
        <f t="shared" si="10"/>
        <v>0</v>
      </c>
      <c r="T17" s="167" t="str">
        <f t="shared" si="11"/>
        <v/>
      </c>
      <c r="U17" s="167">
        <f t="shared" si="3"/>
        <v>0</v>
      </c>
      <c r="V17" s="167">
        <f t="shared" si="4"/>
        <v>0</v>
      </c>
      <c r="W17" s="167">
        <f t="shared" si="5"/>
        <v>0</v>
      </c>
      <c r="X17" s="167">
        <f t="shared" si="12"/>
        <v>0</v>
      </c>
      <c r="Y17" s="167">
        <f t="shared" si="13"/>
        <v>0</v>
      </c>
      <c r="AA17" s="124">
        <f t="shared" si="14"/>
        <v>0</v>
      </c>
      <c r="AB17" s="124">
        <f t="shared" si="15"/>
        <v>0</v>
      </c>
      <c r="AC17" s="124">
        <f t="shared" si="16"/>
        <v>0</v>
      </c>
      <c r="AD17" s="124">
        <f t="shared" si="17"/>
        <v>0</v>
      </c>
      <c r="AF17" s="124">
        <f t="shared" si="18"/>
        <v>0</v>
      </c>
      <c r="AG17" s="124">
        <f t="shared" si="19"/>
        <v>0</v>
      </c>
      <c r="AH17" s="124">
        <f t="shared" si="20"/>
        <v>0</v>
      </c>
      <c r="AI17" s="124">
        <f t="shared" si="21"/>
        <v>0</v>
      </c>
    </row>
    <row r="18" spans="2:35" x14ac:dyDescent="0.25">
      <c r="B18" s="167">
        <v>7</v>
      </c>
      <c r="C18" s="175">
        <f>C12</f>
        <v>0</v>
      </c>
      <c r="D18" s="167">
        <f>D3</f>
        <v>11000</v>
      </c>
      <c r="E18" s="167">
        <f>E3</f>
        <v>370</v>
      </c>
      <c r="F18" s="167">
        <f>F3</f>
        <v>690</v>
      </c>
      <c r="G18" s="167">
        <f>G3</f>
        <v>69</v>
      </c>
      <c r="H18" s="167">
        <v>690</v>
      </c>
      <c r="I18" s="169">
        <f>I17+C17/2+C18/2</f>
        <v>40</v>
      </c>
      <c r="J18" s="169">
        <f t="shared" si="6"/>
        <v>0</v>
      </c>
      <c r="K18" s="169">
        <f t="shared" si="7"/>
        <v>0</v>
      </c>
      <c r="L18" s="170">
        <f>(D18*(C18/1000)^3/12+D18*C18/1000*(I18/1000)^2)*1000</f>
        <v>0</v>
      </c>
      <c r="M18" s="170">
        <f>(E18*(C18/1000)^3/12+E18*C18/1000*(I18/1000)^2)*1000</f>
        <v>0</v>
      </c>
      <c r="N18" s="170">
        <f t="shared" si="0"/>
        <v>0</v>
      </c>
      <c r="O18" s="167">
        <f t="shared" si="1"/>
        <v>0</v>
      </c>
      <c r="P18" s="167">
        <f t="shared" si="8"/>
        <v>0</v>
      </c>
      <c r="Q18" s="167" t="str">
        <f t="shared" si="9"/>
        <v/>
      </c>
      <c r="R18" s="167">
        <f t="shared" si="2"/>
        <v>0</v>
      </c>
      <c r="S18" s="167">
        <f t="shared" si="10"/>
        <v>0</v>
      </c>
      <c r="T18" s="167" t="str">
        <f t="shared" si="11"/>
        <v/>
      </c>
      <c r="U18" s="167">
        <f t="shared" si="3"/>
        <v>0</v>
      </c>
      <c r="V18" s="167">
        <f t="shared" si="4"/>
        <v>0</v>
      </c>
      <c r="W18" s="167">
        <f t="shared" si="5"/>
        <v>0</v>
      </c>
      <c r="X18" s="167">
        <f t="shared" si="12"/>
        <v>0</v>
      </c>
      <c r="Y18" s="167">
        <f t="shared" si="13"/>
        <v>0</v>
      </c>
      <c r="AA18" s="124">
        <f t="shared" si="14"/>
        <v>0</v>
      </c>
      <c r="AB18" s="124">
        <f t="shared" si="15"/>
        <v>0</v>
      </c>
      <c r="AC18" s="124">
        <f t="shared" si="16"/>
        <v>0</v>
      </c>
      <c r="AD18" s="124">
        <f t="shared" si="17"/>
        <v>0</v>
      </c>
      <c r="AF18" s="124">
        <f t="shared" si="18"/>
        <v>0</v>
      </c>
      <c r="AG18" s="124">
        <f t="shared" si="19"/>
        <v>0</v>
      </c>
      <c r="AH18" s="124">
        <f t="shared" si="20"/>
        <v>0</v>
      </c>
      <c r="AI18" s="124">
        <f t="shared" si="21"/>
        <v>0</v>
      </c>
    </row>
    <row r="19" spans="2:35" x14ac:dyDescent="0.25">
      <c r="B19" s="167">
        <v>9</v>
      </c>
      <c r="C19" s="175">
        <f>C11</f>
        <v>0</v>
      </c>
      <c r="D19" s="167">
        <f>E3</f>
        <v>370</v>
      </c>
      <c r="E19" s="167">
        <f>D3</f>
        <v>11000</v>
      </c>
      <c r="F19" s="167">
        <f>G3</f>
        <v>69</v>
      </c>
      <c r="G19" s="167">
        <f>F3</f>
        <v>690</v>
      </c>
      <c r="H19" s="167">
        <v>690</v>
      </c>
      <c r="I19" s="169">
        <f>I18+C18/2+C19/2</f>
        <v>40</v>
      </c>
      <c r="J19" s="169">
        <f t="shared" si="6"/>
        <v>0</v>
      </c>
      <c r="K19" s="169">
        <f t="shared" si="7"/>
        <v>0</v>
      </c>
      <c r="L19" s="170">
        <f>(D19*(C19/1000)^3/12+D19*C19/1000*(I19/1000)^2)*1000</f>
        <v>0</v>
      </c>
      <c r="M19" s="170">
        <f>(E19*(C19/1000)^3/12+E19*C19/1000*(I19/1000)^2)*1000</f>
        <v>0</v>
      </c>
      <c r="N19" s="170">
        <f t="shared" si="0"/>
        <v>0</v>
      </c>
      <c r="O19" s="167">
        <f t="shared" si="1"/>
        <v>0</v>
      </c>
      <c r="P19" s="167">
        <f t="shared" si="8"/>
        <v>0</v>
      </c>
      <c r="Q19" s="167" t="str">
        <f t="shared" si="9"/>
        <v/>
      </c>
      <c r="R19" s="167">
        <f t="shared" si="2"/>
        <v>0</v>
      </c>
      <c r="S19" s="167">
        <f t="shared" si="10"/>
        <v>0</v>
      </c>
      <c r="T19" s="167" t="str">
        <f t="shared" si="11"/>
        <v/>
      </c>
      <c r="U19" s="167">
        <f t="shared" si="3"/>
        <v>0</v>
      </c>
      <c r="V19" s="167">
        <f t="shared" si="4"/>
        <v>0</v>
      </c>
      <c r="W19" s="167">
        <f t="shared" si="5"/>
        <v>0</v>
      </c>
      <c r="X19" s="167">
        <f t="shared" si="12"/>
        <v>0</v>
      </c>
      <c r="Y19" s="167">
        <f t="shared" si="13"/>
        <v>0</v>
      </c>
      <c r="AA19" s="124">
        <f t="shared" si="14"/>
        <v>0</v>
      </c>
      <c r="AB19" s="124">
        <f t="shared" si="15"/>
        <v>0</v>
      </c>
      <c r="AC19" s="124">
        <f t="shared" si="16"/>
        <v>0</v>
      </c>
      <c r="AD19" s="124">
        <f t="shared" si="17"/>
        <v>0</v>
      </c>
      <c r="AF19" s="124">
        <f t="shared" si="18"/>
        <v>0</v>
      </c>
      <c r="AG19" s="124">
        <f t="shared" si="19"/>
        <v>0</v>
      </c>
      <c r="AH19" s="124">
        <f t="shared" si="20"/>
        <v>0</v>
      </c>
      <c r="AI19" s="124">
        <f t="shared" si="21"/>
        <v>0</v>
      </c>
    </row>
    <row r="20" spans="2:35" ht="15.75" thickBot="1" x14ac:dyDescent="0.3">
      <c r="B20" s="167">
        <v>11</v>
      </c>
      <c r="C20" s="175">
        <f>C10</f>
        <v>0</v>
      </c>
      <c r="D20" s="167">
        <f>D3</f>
        <v>11000</v>
      </c>
      <c r="E20" s="167">
        <f>E3</f>
        <v>370</v>
      </c>
      <c r="F20" s="167">
        <f>F3</f>
        <v>690</v>
      </c>
      <c r="G20" s="167">
        <f>G3</f>
        <v>69</v>
      </c>
      <c r="H20" s="167">
        <v>690</v>
      </c>
      <c r="I20" s="169">
        <f>I19+C19/2+C20/2</f>
        <v>40</v>
      </c>
      <c r="J20" s="169">
        <f t="shared" si="6"/>
        <v>0</v>
      </c>
      <c r="K20" s="169">
        <f t="shared" si="7"/>
        <v>0</v>
      </c>
      <c r="L20" s="176">
        <f>(D20*(C20/1000)^3/12+D20*C20/1000*(I20/1000)^2)*1000</f>
        <v>0</v>
      </c>
      <c r="M20" s="176">
        <f>(E20*(C20/1000)^3/12+E20*C20/1000*(I20/1000)^2)*1000</f>
        <v>0</v>
      </c>
      <c r="N20" s="170">
        <f t="shared" si="0"/>
        <v>0</v>
      </c>
      <c r="O20" s="167">
        <f t="shared" si="1"/>
        <v>0</v>
      </c>
      <c r="P20" s="167">
        <f t="shared" si="8"/>
        <v>0</v>
      </c>
      <c r="Q20" s="167" t="str">
        <f t="shared" si="9"/>
        <v/>
      </c>
      <c r="R20" s="167">
        <f t="shared" si="2"/>
        <v>0</v>
      </c>
      <c r="S20" s="167">
        <f t="shared" si="10"/>
        <v>0</v>
      </c>
      <c r="T20" s="167" t="str">
        <f t="shared" si="11"/>
        <v/>
      </c>
      <c r="U20" s="167">
        <f t="shared" si="3"/>
        <v>0</v>
      </c>
      <c r="V20" s="167">
        <f t="shared" si="4"/>
        <v>0</v>
      </c>
      <c r="W20" s="167">
        <f t="shared" si="5"/>
        <v>0</v>
      </c>
      <c r="X20" s="167">
        <f t="shared" si="12"/>
        <v>0</v>
      </c>
      <c r="Y20" s="167">
        <f t="shared" si="13"/>
        <v>0</v>
      </c>
      <c r="AA20" s="124">
        <f t="shared" si="14"/>
        <v>0</v>
      </c>
      <c r="AB20" s="124">
        <f t="shared" si="15"/>
        <v>0</v>
      </c>
      <c r="AC20" s="124">
        <f t="shared" si="16"/>
        <v>0</v>
      </c>
      <c r="AD20" s="124">
        <f t="shared" si="17"/>
        <v>0</v>
      </c>
      <c r="AF20" s="124">
        <f t="shared" si="18"/>
        <v>0</v>
      </c>
      <c r="AG20" s="124">
        <f t="shared" si="19"/>
        <v>0</v>
      </c>
      <c r="AH20" s="124">
        <f t="shared" si="20"/>
        <v>0</v>
      </c>
      <c r="AI20" s="124">
        <f t="shared" si="21"/>
        <v>0</v>
      </c>
    </row>
    <row r="21" spans="2:35" ht="16.5" thickBot="1" x14ac:dyDescent="0.3">
      <c r="B21" s="177" t="s">
        <v>378</v>
      </c>
      <c r="C21" s="178">
        <f>SUM(C10:C20)</f>
        <v>80</v>
      </c>
      <c r="J21" s="179">
        <f t="shared" ref="J21:O21" si="22">SUM(J10:J20)</f>
        <v>33600000</v>
      </c>
      <c r="K21" s="180">
        <f t="shared" si="22"/>
        <v>533333.33333333326</v>
      </c>
      <c r="L21" s="181">
        <f t="shared" si="22"/>
        <v>462.24666666666673</v>
      </c>
      <c r="M21" s="182">
        <f t="shared" si="22"/>
        <v>22.873333333333335</v>
      </c>
      <c r="N21" s="183">
        <f t="shared" si="22"/>
        <v>58.88000000000001</v>
      </c>
      <c r="O21" s="174">
        <f t="shared" si="22"/>
        <v>412.50000000000011</v>
      </c>
      <c r="P21" s="184"/>
      <c r="Q21" s="174">
        <f>SUM(Q10:Q20)</f>
        <v>127.53623188405793</v>
      </c>
      <c r="R21" s="174">
        <f>SUM(R10:R20)</f>
        <v>13.875000000000002</v>
      </c>
      <c r="S21" s="185"/>
      <c r="T21" s="174">
        <f t="shared" ref="T21:Y21" si="23">SUM(T10:T20)</f>
        <v>127.53623188405791</v>
      </c>
      <c r="U21" s="174">
        <f t="shared" si="23"/>
        <v>667.4</v>
      </c>
      <c r="V21" s="183">
        <f t="shared" si="23"/>
        <v>242.2</v>
      </c>
      <c r="W21" s="174">
        <f t="shared" si="23"/>
        <v>55.2</v>
      </c>
      <c r="X21" s="186">
        <f t="shared" si="23"/>
        <v>48000</v>
      </c>
      <c r="Y21" s="186">
        <f t="shared" si="23"/>
        <v>16000</v>
      </c>
      <c r="AA21" s="124">
        <f>SUBTOTAL(109,J_MidSpan[jxx,i])</f>
        <v>25702879.429814834</v>
      </c>
      <c r="AB21" s="124">
        <f>SUBTOTAL(109,J_MidSpan[Jy,i])</f>
        <v>407982.21317166399</v>
      </c>
      <c r="AC21" s="124">
        <f>SUBTOTAL(109,A_MidSpan[AX])</f>
        <v>36718.399185449758</v>
      </c>
      <c r="AD21" s="124">
        <f>SUBTOTAL(109,A_MidSpan[AY])</f>
        <v>12239.466395149921</v>
      </c>
      <c r="AF21" s="124">
        <f>SUBTOTAL(109,J_Support[jxx,i])</f>
        <v>8820000</v>
      </c>
      <c r="AG21" s="124">
        <f>SUBTOTAL(109,J_Support[Jy,i])</f>
        <v>140000</v>
      </c>
      <c r="AH21" s="124">
        <f>SUBTOTAL(109,A_Support[AX])</f>
        <v>12600</v>
      </c>
      <c r="AI21" s="124">
        <f>SUBTOTAL(109,A_Support[AY])</f>
        <v>4200</v>
      </c>
    </row>
    <row r="22" spans="2:35" ht="18" x14ac:dyDescent="0.25">
      <c r="B22" s="106" t="s">
        <v>379</v>
      </c>
      <c r="L22" s="187">
        <f>L21/M21</f>
        <v>20.208976974642962</v>
      </c>
      <c r="M22" s="187">
        <f>M21/L21</f>
        <v>4.9482960035767333E-2</v>
      </c>
      <c r="P22" s="147"/>
      <c r="Q22" s="188"/>
      <c r="T22" s="188"/>
      <c r="U22" s="106"/>
      <c r="W22" s="147"/>
      <c r="AA22" s="116"/>
      <c r="AB22" s="116"/>
      <c r="AC22" s="124"/>
      <c r="AD22" s="124"/>
      <c r="AF22" s="124"/>
      <c r="AG22" s="124"/>
      <c r="AH22" s="124"/>
      <c r="AI22" s="124"/>
    </row>
    <row r="23" spans="2:35" x14ac:dyDescent="0.25">
      <c r="O23" s="147">
        <f>O21/R21</f>
        <v>29.729729729729733</v>
      </c>
      <c r="AC23" s="116"/>
      <c r="AD23" s="116"/>
      <c r="AH23" s="124"/>
      <c r="AI23" s="124"/>
    </row>
    <row r="29" spans="2:35" x14ac:dyDescent="0.25">
      <c r="B29" s="153" t="s">
        <v>380</v>
      </c>
    </row>
    <row r="30" spans="2:35" x14ac:dyDescent="0.25">
      <c r="B30" s="106" t="s">
        <v>381</v>
      </c>
      <c r="F30" s="106" t="s">
        <v>382</v>
      </c>
    </row>
    <row r="31" spans="2:35" x14ac:dyDescent="0.25">
      <c r="B31" s="106" t="s">
        <v>383</v>
      </c>
      <c r="D31" s="106" t="s">
        <v>382</v>
      </c>
      <c r="F31" s="106" t="s">
        <v>384</v>
      </c>
    </row>
    <row r="32" spans="2:35" x14ac:dyDescent="0.25">
      <c r="C32" s="189" t="s">
        <v>385</v>
      </c>
      <c r="D32" s="190"/>
      <c r="E32" s="190"/>
      <c r="F32" s="190"/>
      <c r="G32" s="190"/>
      <c r="H32" s="190"/>
      <c r="I32" s="190"/>
      <c r="J32" s="191"/>
    </row>
    <row r="33" spans="2:10" x14ac:dyDescent="0.25">
      <c r="C33" s="192" t="s">
        <v>386</v>
      </c>
      <c r="D33" s="192"/>
      <c r="E33" s="192"/>
      <c r="F33" s="192"/>
      <c r="G33" s="193"/>
      <c r="H33" s="193"/>
      <c r="I33" s="193"/>
      <c r="J33" s="193"/>
    </row>
    <row r="34" spans="2:10" ht="18" x14ac:dyDescent="0.25">
      <c r="B34" s="147" t="s">
        <v>387</v>
      </c>
      <c r="C34" s="194">
        <f>L21/1000</f>
        <v>0.46224666666666675</v>
      </c>
      <c r="D34" s="195">
        <v>0</v>
      </c>
      <c r="E34" s="195">
        <v>0</v>
      </c>
      <c r="F34" s="195">
        <v>0</v>
      </c>
      <c r="G34" s="196">
        <v>0</v>
      </c>
      <c r="H34" s="196">
        <v>0</v>
      </c>
      <c r="I34" s="196">
        <v>0</v>
      </c>
      <c r="J34" s="196">
        <v>0</v>
      </c>
    </row>
    <row r="35" spans="2:10" ht="18" x14ac:dyDescent="0.25">
      <c r="B35" s="147" t="s">
        <v>388</v>
      </c>
      <c r="C35" s="195">
        <v>0</v>
      </c>
      <c r="D35" s="197">
        <f>M21/1000</f>
        <v>2.2873333333333336E-2</v>
      </c>
      <c r="E35" s="195">
        <v>0</v>
      </c>
      <c r="F35" s="195">
        <v>0</v>
      </c>
      <c r="G35" s="196">
        <v>0</v>
      </c>
      <c r="H35" s="196">
        <v>0</v>
      </c>
      <c r="I35" s="196">
        <v>0</v>
      </c>
      <c r="J35" s="196">
        <v>0</v>
      </c>
    </row>
    <row r="36" spans="2:10" ht="18.75" thickBot="1" x14ac:dyDescent="0.3">
      <c r="B36" s="147" t="s">
        <v>389</v>
      </c>
      <c r="C36" s="195">
        <v>0</v>
      </c>
      <c r="D36" s="195">
        <v>0</v>
      </c>
      <c r="E36" s="197">
        <f>IF(D31="JA",N21/1000,0)</f>
        <v>5.8880000000000009E-2</v>
      </c>
      <c r="F36" s="198">
        <v>0</v>
      </c>
      <c r="G36" s="196">
        <v>0</v>
      </c>
      <c r="H36" s="196">
        <v>0</v>
      </c>
      <c r="I36" s="196">
        <v>0</v>
      </c>
      <c r="J36" s="196">
        <v>0</v>
      </c>
    </row>
    <row r="37" spans="2:10" ht="18.75" thickBot="1" x14ac:dyDescent="0.3">
      <c r="B37" s="147" t="s">
        <v>390</v>
      </c>
      <c r="C37" s="195">
        <v>0</v>
      </c>
      <c r="D37" s="195">
        <v>0</v>
      </c>
      <c r="E37" s="199">
        <v>0</v>
      </c>
      <c r="F37" s="200">
        <f>1/Q21*1000</f>
        <v>7.8409090909090926</v>
      </c>
      <c r="G37" s="201">
        <v>0</v>
      </c>
      <c r="H37" s="196">
        <v>0</v>
      </c>
      <c r="I37" s="196">
        <v>0</v>
      </c>
      <c r="J37" s="196">
        <v>0</v>
      </c>
    </row>
    <row r="38" spans="2:10" ht="18.75" thickBot="1" x14ac:dyDescent="0.3">
      <c r="B38" s="147" t="s">
        <v>391</v>
      </c>
      <c r="C38" s="196">
        <v>0</v>
      </c>
      <c r="D38" s="196">
        <v>0</v>
      </c>
      <c r="E38" s="196">
        <v>0</v>
      </c>
      <c r="F38" s="202">
        <v>0</v>
      </c>
      <c r="G38" s="203">
        <f>1/T21*1000</f>
        <v>7.8409090909090944</v>
      </c>
      <c r="H38" s="204">
        <v>0</v>
      </c>
      <c r="I38" s="196">
        <v>0</v>
      </c>
      <c r="J38" s="196">
        <v>0</v>
      </c>
    </row>
    <row r="39" spans="2:10" ht="18" x14ac:dyDescent="0.25">
      <c r="B39" s="147" t="s">
        <v>392</v>
      </c>
      <c r="C39" s="196">
        <v>0</v>
      </c>
      <c r="D39" s="196">
        <v>0</v>
      </c>
      <c r="E39" s="196">
        <v>0</v>
      </c>
      <c r="F39" s="196">
        <v>0</v>
      </c>
      <c r="G39" s="205">
        <v>0</v>
      </c>
      <c r="H39" s="206">
        <f>U21</f>
        <v>667.4</v>
      </c>
      <c r="I39" s="196">
        <v>0</v>
      </c>
      <c r="J39" s="196">
        <v>0</v>
      </c>
    </row>
    <row r="40" spans="2:10" ht="18" x14ac:dyDescent="0.25">
      <c r="B40" s="147" t="s">
        <v>393</v>
      </c>
      <c r="C40" s="196">
        <v>0</v>
      </c>
      <c r="D40" s="196">
        <v>0</v>
      </c>
      <c r="E40" s="196">
        <v>0</v>
      </c>
      <c r="F40" s="196">
        <v>0</v>
      </c>
      <c r="G40" s="196">
        <v>0</v>
      </c>
      <c r="H40" s="196">
        <v>0</v>
      </c>
      <c r="I40" s="206">
        <f>V21</f>
        <v>242.2</v>
      </c>
      <c r="J40" s="196">
        <v>0</v>
      </c>
    </row>
    <row r="41" spans="2:10" ht="18" x14ac:dyDescent="0.25">
      <c r="B41" s="147" t="s">
        <v>394</v>
      </c>
      <c r="C41" s="196">
        <v>0</v>
      </c>
      <c r="D41" s="196">
        <v>0</v>
      </c>
      <c r="E41" s="196">
        <v>0</v>
      </c>
      <c r="F41" s="196">
        <v>0</v>
      </c>
      <c r="G41" s="196">
        <v>0</v>
      </c>
      <c r="H41" s="196">
        <v>0</v>
      </c>
      <c r="I41" s="196">
        <v>0</v>
      </c>
      <c r="J41" s="206">
        <f>IF(D31="JA",W21,0.25*W21)</f>
        <v>55.2</v>
      </c>
    </row>
    <row r="43" spans="2:10" x14ac:dyDescent="0.25">
      <c r="B43" s="207" t="s">
        <v>395</v>
      </c>
    </row>
  </sheetData>
  <mergeCells count="24">
    <mergeCell ref="AF8:AG8"/>
    <mergeCell ref="AH8:AI8"/>
    <mergeCell ref="AA5:AD5"/>
    <mergeCell ref="AF5:AI5"/>
    <mergeCell ref="AF7:AG7"/>
    <mergeCell ref="AH7:AI7"/>
    <mergeCell ref="AA7:AB7"/>
    <mergeCell ref="AC7:AD7"/>
    <mergeCell ref="AA8:AB8"/>
    <mergeCell ref="AC8:AD8"/>
    <mergeCell ref="X7:Y7"/>
    <mergeCell ref="X8:Y8"/>
    <mergeCell ref="R7:T7"/>
    <mergeCell ref="U7:V7"/>
    <mergeCell ref="B8:B9"/>
    <mergeCell ref="L8:M8"/>
    <mergeCell ref="O8:Q8"/>
    <mergeCell ref="R8:T8"/>
    <mergeCell ref="U8:V8"/>
    <mergeCell ref="J7:K7"/>
    <mergeCell ref="J8:K8"/>
    <mergeCell ref="B7:I7"/>
    <mergeCell ref="L7:M7"/>
    <mergeCell ref="O7:Q7"/>
  </mergeCells>
  <dataValidations disablePrompts="1" count="1">
    <dataValidation type="list" allowBlank="1" showInputMessage="1" showErrorMessage="1" sqref="D31" xr:uid="{109FD88B-4806-4A9D-9894-69124B17AADD}">
      <formula1>F30:F31</formula1>
    </dataValidation>
  </dataValidations>
  <pageMargins left="0.7" right="0.7" top="0.78740157499999996" bottom="0.78740157499999996" header="0.3" footer="0.3"/>
  <pageSetup orientation="portrait" r:id="rId1"/>
  <drawing r:id="rId2"/>
  <tableParts count="4">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59F84-6B3D-4806-9F41-87D9DFB0343E}">
  <sheetPr codeName="shSharpMetal"/>
  <dimension ref="B2:H14"/>
  <sheetViews>
    <sheetView workbookViewId="0">
      <selection activeCell="E10" sqref="E10"/>
    </sheetView>
  </sheetViews>
  <sheetFormatPr defaultColWidth="8.85546875" defaultRowHeight="15" x14ac:dyDescent="0.25"/>
  <cols>
    <col min="1" max="1" width="2.85546875" style="116" customWidth="1"/>
    <col min="2" max="2" width="7.42578125" style="125" customWidth="1"/>
    <col min="3" max="3" width="20" style="116" customWidth="1"/>
    <col min="4" max="5" width="8.85546875" style="116"/>
    <col min="6" max="6" width="7.42578125" style="125" customWidth="1"/>
    <col min="7" max="7" width="20" style="116" customWidth="1"/>
    <col min="8" max="8" width="8.85546875" style="116"/>
    <col min="9" max="9" width="5.5703125" style="116" customWidth="1"/>
    <col min="10" max="16384" width="8.85546875" style="116"/>
  </cols>
  <sheetData>
    <row r="2" spans="2:8" ht="16.5" thickBot="1" x14ac:dyDescent="0.3">
      <c r="B2" s="414" t="s">
        <v>734</v>
      </c>
      <c r="C2" s="414"/>
      <c r="D2" s="414"/>
      <c r="F2" s="414" t="s">
        <v>698</v>
      </c>
      <c r="G2" s="414"/>
      <c r="H2" s="414"/>
    </row>
    <row r="3" spans="2:8" ht="15.75" thickTop="1" x14ac:dyDescent="0.25"/>
    <row r="4" spans="2:8" ht="30" x14ac:dyDescent="0.25">
      <c r="B4" s="115" t="s">
        <v>435</v>
      </c>
      <c r="C4" s="123" t="str">
        <f>Input!C41</f>
        <v>SHARP METAL + TBS MAX@a ≤ 100mm</v>
      </c>
      <c r="F4" s="115" t="s">
        <v>436</v>
      </c>
      <c r="G4" s="123" t="str">
        <f>Input!I41</f>
        <v>SHARP METAL + TBS MAX@a ≤ 100mm</v>
      </c>
    </row>
    <row r="5" spans="2:8" x14ac:dyDescent="0.25">
      <c r="B5" s="125" t="s">
        <v>1</v>
      </c>
      <c r="C5" s="116">
        <v>50</v>
      </c>
      <c r="D5" s="116" t="s">
        <v>65</v>
      </c>
      <c r="F5" s="125" t="s">
        <v>1</v>
      </c>
      <c r="G5" s="116">
        <v>50</v>
      </c>
      <c r="H5" s="125" t="s">
        <v>65</v>
      </c>
    </row>
    <row r="6" spans="2:8" x14ac:dyDescent="0.25">
      <c r="B6" s="125" t="s">
        <v>411</v>
      </c>
      <c r="C6" s="116">
        <f>Input!$E$43</f>
        <v>2</v>
      </c>
      <c r="F6" s="125" t="s">
        <v>411</v>
      </c>
      <c r="G6" s="116">
        <f>Input!$K$43</f>
        <v>1</v>
      </c>
      <c r="H6" s="125"/>
    </row>
    <row r="7" spans="2:8" x14ac:dyDescent="0.25">
      <c r="B7" s="125" t="s">
        <v>412</v>
      </c>
      <c r="C7" s="116">
        <f>MIN(0.9*1000,1000-10)</f>
        <v>900</v>
      </c>
      <c r="D7" s="116" t="s">
        <v>65</v>
      </c>
      <c r="F7" s="125" t="s">
        <v>412</v>
      </c>
      <c r="G7" s="116">
        <f>MIN(0.9*1000,1000-10)</f>
        <v>900</v>
      </c>
      <c r="H7" s="125" t="s">
        <v>65</v>
      </c>
    </row>
    <row r="8" spans="2:8" x14ac:dyDescent="0.25">
      <c r="B8" s="125" t="s">
        <v>414</v>
      </c>
      <c r="C8" s="116">
        <f>IF(C4=RefText_DB!$B$9,1.76,IF(C4=RefText_DB!$B$10,3.05,IF(C4=RefText_DB!$B$11,2.47,"errore")))</f>
        <v>3.05</v>
      </c>
      <c r="D8" s="116" t="s">
        <v>413</v>
      </c>
      <c r="F8" s="125" t="s">
        <v>414</v>
      </c>
      <c r="G8" s="116">
        <f>IF(G4=RefText_DB!$B$9,1.76,IF(G4=RefText_DB!$B$10,3.05,IF(G4=RefText_DB!$B$11,2.47,"errore")))</f>
        <v>3.05</v>
      </c>
      <c r="H8" s="125" t="s">
        <v>413</v>
      </c>
    </row>
    <row r="9" spans="2:8" x14ac:dyDescent="0.25">
      <c r="B9" s="125" t="s">
        <v>415</v>
      </c>
      <c r="C9" s="116">
        <f>C8*C7*C6*C5</f>
        <v>274500</v>
      </c>
      <c r="D9" s="116" t="s">
        <v>416</v>
      </c>
      <c r="F9" s="125" t="s">
        <v>415</v>
      </c>
      <c r="G9" s="116">
        <f>G8*G7*G6*G5</f>
        <v>137250</v>
      </c>
      <c r="H9" s="125" t="s">
        <v>416</v>
      </c>
    </row>
    <row r="10" spans="2:8" x14ac:dyDescent="0.25">
      <c r="H10" s="125"/>
    </row>
    <row r="11" spans="2:8" x14ac:dyDescent="0.25">
      <c r="B11" s="125" t="s">
        <v>418</v>
      </c>
      <c r="C11" s="116">
        <f>IF(C4=RefText_DB!$B$9,0.81,IF(C4=RefText_DB!$B$10,1.72,IF(C4=RefText_DB!$B$11,1.02,"ERRORE")))</f>
        <v>1.72</v>
      </c>
      <c r="D11" s="116" t="s">
        <v>409</v>
      </c>
      <c r="F11" s="125" t="s">
        <v>418</v>
      </c>
      <c r="G11" s="116">
        <f>IF(G4=RefText_DB!$B$9,0.81,IF(G4=RefText_DB!$B$10,1.72,IF(G4=RefText_DB!$B$11,1.02,"ERRORE")))</f>
        <v>1.72</v>
      </c>
      <c r="H11" s="125" t="s">
        <v>409</v>
      </c>
    </row>
    <row r="12" spans="2:8" x14ac:dyDescent="0.25">
      <c r="B12" s="126" t="s">
        <v>419</v>
      </c>
      <c r="C12" s="116">
        <v>385</v>
      </c>
      <c r="D12" s="116" t="s">
        <v>420</v>
      </c>
      <c r="F12" s="126" t="s">
        <v>419</v>
      </c>
      <c r="G12" s="116">
        <v>385</v>
      </c>
      <c r="H12" s="125" t="s">
        <v>420</v>
      </c>
    </row>
    <row r="13" spans="2:8" x14ac:dyDescent="0.25">
      <c r="B13" s="126" t="s">
        <v>421</v>
      </c>
      <c r="C13" s="116">
        <f>MIN('Calculation Report'!C85,'Calculation Report'!C107)</f>
        <v>350</v>
      </c>
      <c r="D13" s="116" t="s">
        <v>420</v>
      </c>
      <c r="F13" s="126" t="s">
        <v>421</v>
      </c>
      <c r="G13" s="116">
        <f>MIN('Calculation Report'!C85,'Calculation Report'!C107)</f>
        <v>350</v>
      </c>
      <c r="H13" s="125" t="s">
        <v>420</v>
      </c>
    </row>
    <row r="14" spans="2:8" x14ac:dyDescent="0.25">
      <c r="B14" s="125" t="s">
        <v>417</v>
      </c>
      <c r="C14" s="124">
        <f>C5*C6*C7*C11*(C13/C12)^0.5</f>
        <v>147596.0088152177</v>
      </c>
      <c r="D14" s="116" t="s">
        <v>4</v>
      </c>
      <c r="F14" s="125" t="s">
        <v>417</v>
      </c>
      <c r="G14" s="124">
        <f>G5*G6*G7*G11*(G13/G12)^0.5</f>
        <v>73798.004407608852</v>
      </c>
      <c r="H14" s="125" t="s">
        <v>4</v>
      </c>
    </row>
  </sheetData>
  <mergeCells count="2">
    <mergeCell ref="B2:D2"/>
    <mergeCell ref="F2:H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791BAE553E54299A2D7AB66547121" ma:contentTypeVersion="25" ma:contentTypeDescription="Create a new document." ma:contentTypeScope="" ma:versionID="7ce1d165b07d466702ea02837672fb90">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9fc328467610988802790e365ff11205"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element ref="ns3:Status" minOccurs="0"/>
                <xsd:element ref="ns3:leonardosfavori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Shared With Details" ma:internalName="SharedWithDetails" ma:readOnly="true">
      <xsd:simpleType>
        <xsd:restriction base="dms:Note">
          <xsd:maxLength value="255"/>
        </xsd:restriction>
      </xsd:simpleType>
    </xsd:element>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Status" ma:index="30" nillable="true" ma:displayName="Status" ma:format="Dropdown" ma:internalName="Status">
      <xsd:simpleType>
        <xsd:restriction base="dms:Choice">
          <xsd:enumeration value="To be deleted"/>
          <xsd:enumeration value="review"/>
          <xsd:enumeration value="usefull"/>
        </xsd:restriction>
      </xsd:simpleType>
    </xsd:element>
    <xsd:element name="leonardosfavorites" ma:index="31" nillable="true" ma:displayName="leonardo's favorites" ma:format="Dropdown" ma:internalName="leonardosfavorites">
      <xsd:simpleType>
        <xsd:union memberTypes="dms:Text">
          <xsd:simpleType>
            <xsd:restriction base="dms:Choice">
              <xsd:enumeration value="very useful"/>
              <xsd:enumeration value="problematic"/>
              <xsd:enumeration value="Choix 3"/>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1a907e-b217-416b-8f3e-9f31b26bbae2">
      <Terms xmlns="http://schemas.microsoft.com/office/infopath/2007/PartnerControls"/>
    </lcf76f155ced4ddcb4097134ff3c332f>
    <TaxCatchAll xmlns="4ac9669e-3ecc-4027-9c07-5729b88496eb" xsi:nil="true"/>
    <_Flow_SignoffStatus xmlns="f71a907e-b217-416b-8f3e-9f31b26bbae2" xsi:nil="true"/>
    <Availability xmlns="f71a907e-b217-416b-8f3e-9f31b26bbae2" xsi:nil="true"/>
    <Fase xmlns="f71a907e-b217-416b-8f3e-9f31b26bbae2">Preparazione</Fase>
    <Status xmlns="f71a907e-b217-416b-8f3e-9f31b26bbae2" xsi:nil="true"/>
    <leonardosfavorites xmlns="f71a907e-b217-416b-8f3e-9f31b26bbae2" xsi:nil="true"/>
  </documentManagement>
</p:properties>
</file>

<file path=customXml/itemProps1.xml><?xml version="1.0" encoding="utf-8"?>
<ds:datastoreItem xmlns:ds="http://schemas.openxmlformats.org/officeDocument/2006/customXml" ds:itemID="{5C6EDF2E-EBE3-4ABF-ADA5-CFDF97213F92}"/>
</file>

<file path=customXml/itemProps2.xml><?xml version="1.0" encoding="utf-8"?>
<ds:datastoreItem xmlns:ds="http://schemas.openxmlformats.org/officeDocument/2006/customXml" ds:itemID="{FF286E05-AB17-4600-9403-5C1F18375853}">
  <ds:schemaRefs>
    <ds:schemaRef ds:uri="http://schemas.microsoft.com/sharepoint/v3/contenttype/forms"/>
  </ds:schemaRefs>
</ds:datastoreItem>
</file>

<file path=customXml/itemProps3.xml><?xml version="1.0" encoding="utf-8"?>
<ds:datastoreItem xmlns:ds="http://schemas.openxmlformats.org/officeDocument/2006/customXml" ds:itemID="{34C097C5-1DAB-4F88-A07D-6ED81C35D5B2}">
  <ds:schemaRefs>
    <ds:schemaRef ds:uri="http://schemas.microsoft.com/office/2006/metadata/properties"/>
    <ds:schemaRef ds:uri="http://www.w3.org/XML/1998/namespace"/>
    <ds:schemaRef ds:uri="http://purl.org/dc/elements/1.1/"/>
    <ds:schemaRef ds:uri="f71a907e-b217-416b-8f3e-9f31b26bbae2"/>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4ac9669e-3ecc-4027-9c07-5729b88496eb"/>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CONDITIONS</vt:lpstr>
      <vt:lpstr>'Calculation Report'!Print_Area</vt:lpstr>
      <vt:lpstr>CONDITIONS!Print_Area</vt:lpstr>
      <vt:lpstr>Input!Print_Area</vt:lpstr>
      <vt:lpstr>Output!Print_Area</vt:lpstr>
      <vt:lpstr>'Relazione di Calcolo AT SUPPORT'!Print_Area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Rotho</dc:creator>
  <cp:lastModifiedBy>Damiano Sommavilla</cp:lastModifiedBy>
  <cp:lastPrinted>2026-07-20T11:35:39Z</cp:lastPrinted>
  <dcterms:created xsi:type="dcterms:W3CDTF">2013-03-18T10:34:35Z</dcterms:created>
  <dcterms:modified xsi:type="dcterms:W3CDTF">2026-07-20T14:14:45Z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y fmtid="{D5CDD505-2E9C-101B-9397-08002B2CF9AE}" pid="4" name="Accettato">
    <vt:bool>false</vt:bool>
  </property>
</Properties>
</file>